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4835" yWindow="-30" windowWidth="13980" windowHeight="12660"/>
  </bookViews>
  <sheets>
    <sheet name="Стена" sheetId="1" r:id="rId1"/>
    <sheet name="Перекрытие" sheetId="7" r:id="rId2"/>
    <sheet name="Прямоугольная колонна" sheetId="8" r:id="rId3"/>
    <sheet name="Круглая колонна" sheetId="6" r:id="rId4"/>
    <sheet name="Ленточный фундамент" sheetId="9" r:id="rId5"/>
    <sheet name="Фундаментная плита" sheetId="10" r:id="rId6"/>
    <sheet name="Опалубка" sheetId="2" r:id="rId7"/>
    <sheet name="Теплоизоляция" sheetId="3" r:id="rId8"/>
    <sheet name="Бетоны" sheetId="4" r:id="rId9"/>
  </sheets>
  <calcPr calcId="145621"/>
</workbook>
</file>

<file path=xl/calcChain.xml><?xml version="1.0" encoding="utf-8"?>
<calcChain xmlns="http://schemas.openxmlformats.org/spreadsheetml/2006/main">
  <c r="C12" i="10" l="1"/>
  <c r="F19" i="10"/>
  <c r="F22" i="10" l="1"/>
  <c r="F25" i="9"/>
  <c r="C28" i="10" l="1"/>
  <c r="C27" i="10"/>
  <c r="C25" i="10"/>
  <c r="C24" i="10"/>
  <c r="F23" i="10" l="1"/>
  <c r="F26" i="10" s="1"/>
  <c r="C29" i="10"/>
  <c r="C30" i="10" s="1"/>
  <c r="C4" i="3"/>
  <c r="C3" i="3"/>
  <c r="C5" i="3"/>
  <c r="C6" i="3"/>
  <c r="C7" i="3"/>
  <c r="C8" i="3"/>
  <c r="C9" i="3"/>
  <c r="C10" i="3"/>
  <c r="C11" i="3"/>
  <c r="C13" i="10" l="1"/>
  <c r="F23" i="7"/>
  <c r="C31" i="10" l="1"/>
  <c r="C17" i="10" s="1"/>
  <c r="C14" i="10"/>
  <c r="C15" i="10"/>
  <c r="C16" i="10" s="1"/>
  <c r="C7" i="2"/>
  <c r="C6" i="2"/>
  <c r="C5" i="2"/>
  <c r="C31" i="9" l="1"/>
  <c r="C30" i="9"/>
  <c r="F24" i="9"/>
  <c r="C25" i="9"/>
  <c r="C24" i="9"/>
  <c r="C28" i="9"/>
  <c r="C27" i="9"/>
  <c r="F22" i="9"/>
  <c r="C22" i="9"/>
  <c r="C15" i="9"/>
  <c r="C3" i="2"/>
  <c r="C4" i="2"/>
  <c r="C32" i="9" l="1"/>
  <c r="C33" i="9" s="1"/>
  <c r="F26" i="9"/>
  <c r="F29" i="9" s="1"/>
  <c r="C26" i="9"/>
  <c r="C29" i="9" l="1"/>
  <c r="C16" i="9" s="1"/>
  <c r="C18" i="9" s="1"/>
  <c r="C19" i="9" s="1"/>
  <c r="C34" i="9" l="1"/>
  <c r="C20" i="9" s="1"/>
  <c r="C17" i="9"/>
  <c r="C28" i="8"/>
  <c r="C27" i="8"/>
  <c r="C22" i="8"/>
  <c r="C21" i="8"/>
  <c r="C25" i="8"/>
  <c r="C24" i="8"/>
  <c r="C20" i="8"/>
  <c r="C13" i="8"/>
  <c r="C29" i="8" l="1"/>
  <c r="C30" i="8" s="1"/>
  <c r="C23" i="8"/>
  <c r="C26" i="8" s="1"/>
  <c r="C14" i="8" l="1"/>
  <c r="C16" i="8" s="1"/>
  <c r="C17" i="8" s="1"/>
  <c r="C31" i="8" l="1"/>
  <c r="C18" i="8" s="1"/>
  <c r="C15" i="8"/>
  <c r="C32" i="7"/>
  <c r="C31" i="7"/>
  <c r="F26" i="7"/>
  <c r="F25" i="7"/>
  <c r="C26" i="7"/>
  <c r="C25" i="7"/>
  <c r="C29" i="7"/>
  <c r="F28" i="7"/>
  <c r="C28" i="7"/>
  <c r="C23" i="7"/>
  <c r="C16" i="7"/>
  <c r="C33" i="7" l="1"/>
  <c r="C34" i="7" s="1"/>
  <c r="C27" i="7"/>
  <c r="C30" i="7" s="1"/>
  <c r="F27" i="7"/>
  <c r="F30" i="7" s="1"/>
  <c r="C17" i="7" l="1"/>
  <c r="C18" i="7" l="1"/>
  <c r="C19" i="7"/>
  <c r="C20" i="7" s="1"/>
  <c r="C35" i="7"/>
  <c r="C21" i="7" s="1"/>
  <c r="C27" i="6" l="1"/>
  <c r="C26" i="6"/>
  <c r="C21" i="6"/>
  <c r="C20" i="6"/>
  <c r="C24" i="6"/>
  <c r="C23" i="6"/>
  <c r="C19" i="6"/>
  <c r="C12" i="6"/>
  <c r="C28" i="6" l="1"/>
  <c r="C29" i="6" s="1"/>
  <c r="C22" i="6"/>
  <c r="C25" i="6" s="1"/>
  <c r="C13" i="6" l="1"/>
  <c r="C15" i="6" s="1"/>
  <c r="C16" i="6" s="1"/>
  <c r="C14" i="6" l="1"/>
  <c r="C30" i="6"/>
  <c r="C17" i="6" s="1"/>
  <c r="C28" i="1"/>
  <c r="C27" i="1"/>
  <c r="C21" i="1" l="1"/>
  <c r="C22" i="1"/>
  <c r="C25" i="1"/>
  <c r="C24" i="1"/>
  <c r="C23" i="1" l="1"/>
  <c r="C20" i="1" l="1"/>
  <c r="C26" i="1" s="1"/>
  <c r="C13" i="1"/>
  <c r="C29" i="1" s="1"/>
  <c r="C30" i="1" s="1"/>
  <c r="C14" i="1" l="1"/>
  <c r="C31" i="1" s="1"/>
  <c r="C18" i="1" s="1"/>
  <c r="C15" i="1" l="1"/>
  <c r="C16" i="1"/>
  <c r="C17" i="1" s="1"/>
</calcChain>
</file>

<file path=xl/sharedStrings.xml><?xml version="1.0" encoding="utf-8"?>
<sst xmlns="http://schemas.openxmlformats.org/spreadsheetml/2006/main" count="436" uniqueCount="94">
  <si>
    <t>Высота стены</t>
  </si>
  <si>
    <t>м</t>
  </si>
  <si>
    <t>Толщина стены</t>
  </si>
  <si>
    <t>мм</t>
  </si>
  <si>
    <t>Расчетный объем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</si>
  <si>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</si>
  <si>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Площадь теплоотдачи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</si>
  <si>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</si>
  <si>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Наименование</t>
  </si>
  <si>
    <t>Термическое сопротивление</t>
  </si>
  <si>
    <t>Плотность</t>
  </si>
  <si>
    <t>Пластиковая опалубка</t>
  </si>
  <si>
    <t>R опалубки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</si>
  <si>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/К·Вт</t>
    </r>
  </si>
  <si>
    <t>R полное</t>
  </si>
  <si>
    <t>°С</t>
  </si>
  <si>
    <t>Начальная температура смеси</t>
  </si>
  <si>
    <t>Требуемая температура смеси</t>
  </si>
  <si>
    <t>Температура воздуха</t>
  </si>
  <si>
    <t>dT теплопотерь</t>
  </si>
  <si>
    <t>dT разогрева</t>
  </si>
  <si>
    <t>10 мм минеральной ваты</t>
  </si>
  <si>
    <t>50 мм минеральной ваты</t>
  </si>
  <si>
    <t>R теплоизоляции</t>
  </si>
  <si>
    <t>полные теплопотери</t>
  </si>
  <si>
    <t>Вт</t>
  </si>
  <si>
    <t>Теплоемкость</t>
  </si>
  <si>
    <t>плотность бетона</t>
  </si>
  <si>
    <t>теплоемкость бетона</t>
  </si>
  <si>
    <r>
      <t>кг/м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</si>
  <si>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Дж/кг·К</t>
  </si>
  <si>
    <t>масса бетона</t>
  </si>
  <si>
    <t>кг</t>
  </si>
  <si>
    <t>мощность разогрева</t>
  </si>
  <si>
    <t>Время разогрева</t>
  </si>
  <si>
    <t>час</t>
  </si>
  <si>
    <t>Полная мощность</t>
  </si>
  <si>
    <r>
      <t>Вт/м</t>
    </r>
    <r>
      <rPr>
        <vertAlign val="superscript"/>
        <sz val="12"/>
        <color theme="1"/>
        <rFont val="Times New Roman"/>
        <family val="1"/>
        <charset val="204"/>
      </rPr>
      <t>3</t>
    </r>
  </si>
  <si>
    <t>Удельная мощность</t>
  </si>
  <si>
    <t>линейная мощность кабеля</t>
  </si>
  <si>
    <t>Вт/м</t>
  </si>
  <si>
    <t>Требуемая длина кабеля</t>
  </si>
  <si>
    <t>Расход кабеля</t>
  </si>
  <si>
    <r>
      <t>м/м</t>
    </r>
    <r>
      <rPr>
        <vertAlign val="superscript"/>
        <sz val="12"/>
        <color theme="1"/>
        <rFont val="Times New Roman"/>
        <family val="1"/>
        <charset val="204"/>
      </rPr>
      <t>3</t>
    </r>
  </si>
  <si>
    <t>Шаг укладки кабеля</t>
  </si>
  <si>
    <r>
      <t>Вт/м</t>
    </r>
    <r>
      <rPr>
        <vertAlign val="superscript"/>
        <sz val="12"/>
        <color theme="1"/>
        <rFont val="Times New Roman"/>
        <family val="1"/>
        <charset val="204"/>
      </rPr>
      <t>2</t>
    </r>
  </si>
  <si>
    <t>100 мм минеральной ваты</t>
  </si>
  <si>
    <t>Фанерная опалубка</t>
  </si>
  <si>
    <t>Высота колонны</t>
  </si>
  <si>
    <t>Диаметр колонны</t>
  </si>
  <si>
    <t>Длина перекрытия</t>
  </si>
  <si>
    <t>Ширина перекрытия</t>
  </si>
  <si>
    <t>Толщина перекрытия</t>
  </si>
  <si>
    <t>Опалубка и теплоизоляция под перекрытием</t>
  </si>
  <si>
    <t>Опалубка и теплоизоляция над перекрытием</t>
  </si>
  <si>
    <t>Без опалубки</t>
  </si>
  <si>
    <t>Ширина колонны A</t>
  </si>
  <si>
    <t>Ширина колонны B</t>
  </si>
  <si>
    <t>Длина фундамента</t>
  </si>
  <si>
    <t>Ширина фундамента</t>
  </si>
  <si>
    <t>Высота фундамента</t>
  </si>
  <si>
    <t>Боковые поверхности</t>
  </si>
  <si>
    <t>Верхняя поверхность</t>
  </si>
  <si>
    <t>Исходные данные</t>
  </si>
  <si>
    <t>Геометрические параметры</t>
  </si>
  <si>
    <t>Варианты опалубки и теплоизоляции</t>
  </si>
  <si>
    <t>Температурный режим</t>
  </si>
  <si>
    <t>Марка бетона</t>
  </si>
  <si>
    <t>Результаты расчета</t>
  </si>
  <si>
    <t>Доска</t>
  </si>
  <si>
    <t>Несъемная на основе пенополистирола</t>
  </si>
  <si>
    <t>Без теплоизоляции</t>
  </si>
  <si>
    <t>Укрытие полиэтиленом</t>
  </si>
  <si>
    <t>Несъемная на основе арболита</t>
  </si>
  <si>
    <t>Температура воздуха над перекрытием</t>
  </si>
  <si>
    <t>Температура воздуха под перекрытием</t>
  </si>
  <si>
    <t>Варианты опалубки и теплоизоляции бо-ковых поверхностей</t>
  </si>
  <si>
    <t>ПВХ-тент</t>
  </si>
  <si>
    <t>10 мм вспененного полиэтилена</t>
  </si>
  <si>
    <t>М100 – М200</t>
  </si>
  <si>
    <t>М250 – М350</t>
  </si>
  <si>
    <t>М400 – М550</t>
  </si>
  <si>
    <t>М600 и выше</t>
  </si>
  <si>
    <t>Теплоизоляция над перекрытием</t>
  </si>
  <si>
    <t>Опалубка</t>
  </si>
  <si>
    <t>Теплоизоляция верхней поверхности</t>
  </si>
  <si>
    <t>Теплоизоляция</t>
  </si>
  <si>
    <t>10 мм пенополистирола</t>
  </si>
  <si>
    <t>50 мм пенополистирола</t>
  </si>
  <si>
    <t>100 мм пенополистирола</t>
  </si>
  <si>
    <t>Длина плита</t>
  </si>
  <si>
    <t>Ширина плиты</t>
  </si>
  <si>
    <t>Толщина плиты</t>
  </si>
  <si>
    <t>Длина стены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</si>
</sst>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33"/>
  <sheetViews>
    <sheetView tabSelected="1" view="pageBreakPreview" zoomScale="130" zoomScaleNormal="85" zoomScaleSheetLayoutView="130" workbookViewId="0">
      <selection sqref="A1:D1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5" width="9.140625" style="1"/>
    <col min="6" max="6" width="9.140625" style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1" t="s">
        <v>0</v>
      </c>
      <c r="C2" s="7">
        <v>3</v>
      </c>
      <c r="D2" s="11" t="s">
        <v>1</v>
      </c>
    </row>
    <row r="3" spans="1:4" ht="18.95" customHeight="1" x14ac:dyDescent="0.25">
      <c r="A3" s="24"/>
      <c r="B3" s="11" t="s">
        <v>93</v>
      </c>
      <c r="C3" s="7">
        <v>6</v>
      </c>
      <c r="D3" s="11" t="s">
        <v>1</v>
      </c>
    </row>
    <row r="4" spans="1:4" ht="18.95" customHeight="1" x14ac:dyDescent="0.25">
      <c r="A4" s="24"/>
      <c r="B4" s="11" t="s">
        <v>2</v>
      </c>
      <c r="C4" s="7">
        <v>300</v>
      </c>
      <c r="D4" s="11" t="s">
        <v>3</v>
      </c>
    </row>
    <row r="5" spans="1:4" ht="18.95" customHeight="1" x14ac:dyDescent="0.25">
      <c r="A5" s="20" t="s">
        <v>65</v>
      </c>
      <c r="B5" s="22" t="s">
        <v>47</v>
      </c>
      <c r="C5" s="23"/>
      <c r="D5" s="23"/>
    </row>
    <row r="6" spans="1:4" ht="18.95" customHeight="1" x14ac:dyDescent="0.25">
      <c r="A6" s="24"/>
      <c r="B6" s="22" t="s">
        <v>71</v>
      </c>
      <c r="C6" s="23"/>
      <c r="D6" s="23"/>
    </row>
    <row r="7" spans="1:4" ht="18.95" customHeight="1" x14ac:dyDescent="0.25">
      <c r="A7" s="20" t="s">
        <v>66</v>
      </c>
      <c r="B7" s="11" t="s">
        <v>16</v>
      </c>
      <c r="C7" s="7">
        <v>10</v>
      </c>
      <c r="D7" s="11" t="s">
        <v>15</v>
      </c>
    </row>
    <row r="8" spans="1:4" ht="18.95" customHeight="1" x14ac:dyDescent="0.25">
      <c r="A8" s="21"/>
      <c r="B8" s="11" t="s">
        <v>17</v>
      </c>
      <c r="C8" s="7">
        <v>45</v>
      </c>
      <c r="D8" s="11" t="s">
        <v>15</v>
      </c>
    </row>
    <row r="9" spans="1:4" ht="18.95" customHeight="1" x14ac:dyDescent="0.25">
      <c r="A9" s="21"/>
      <c r="B9" s="11" t="s">
        <v>18</v>
      </c>
      <c r="C9" s="7">
        <v>-10</v>
      </c>
      <c r="D9" s="11" t="s">
        <v>15</v>
      </c>
    </row>
    <row r="10" spans="1:4" ht="18.95" customHeight="1" x14ac:dyDescent="0.25">
      <c r="A10" s="21"/>
      <c r="B10" s="11" t="s">
        <v>34</v>
      </c>
      <c r="C10" s="7">
        <v>48</v>
      </c>
      <c r="D10" s="11" t="s">
        <v>35</v>
      </c>
    </row>
    <row r="11" spans="1:4" ht="18.95" customHeight="1" x14ac:dyDescent="0.25">
      <c r="A11" s="11" t="s">
        <v>67</v>
      </c>
      <c r="B11" s="22" t="s">
        <v>79</v>
      </c>
      <c r="C11" s="23"/>
      <c r="D11" s="23"/>
    </row>
    <row r="12" spans="1:4" ht="18.95" customHeight="1" x14ac:dyDescent="0.25">
      <c r="A12" s="20" t="s">
        <v>68</v>
      </c>
      <c r="B12" s="24"/>
      <c r="C12" s="24"/>
      <c r="D12" s="24"/>
    </row>
    <row r="13" spans="1:4" ht="18.95" customHeight="1" x14ac:dyDescent="0.25">
      <c r="A13" s="20" t="s">
        <v>4</v>
      </c>
      <c r="B13" s="21"/>
      <c r="C13" s="13">
        <f>C2*C3*C4/1000</f>
        <v>5.4</v>
      </c>
      <c r="D13" s="11" t="s">
        <v>5</v>
      </c>
    </row>
    <row r="14" spans="1:4" ht="18.95" customHeight="1" x14ac:dyDescent="0.25">
      <c r="A14" s="20" t="s">
        <v>36</v>
      </c>
      <c r="B14" s="21"/>
      <c r="C14" s="13">
        <f>C26+C30</f>
        <v>15876.285211267608</v>
      </c>
      <c r="D14" s="11" t="s">
        <v>25</v>
      </c>
    </row>
    <row r="15" spans="1:4" ht="18.95" customHeight="1" x14ac:dyDescent="0.25">
      <c r="A15" s="20" t="s">
        <v>38</v>
      </c>
      <c r="B15" s="21"/>
      <c r="C15" s="13">
        <f>C14/C13</f>
        <v>2940.0528169014087</v>
      </c>
      <c r="D15" s="11" t="s">
        <v>37</v>
      </c>
    </row>
    <row r="16" spans="1:4" ht="18.95" customHeight="1" x14ac:dyDescent="0.25">
      <c r="A16" s="20" t="s">
        <v>41</v>
      </c>
      <c r="B16" s="21"/>
      <c r="C16" s="16">
        <f>C14/C32</f>
        <v>396.90713028169023</v>
      </c>
      <c r="D16" s="11" t="s">
        <v>1</v>
      </c>
    </row>
    <row r="17" spans="1:4" ht="18.95" customHeight="1" x14ac:dyDescent="0.25">
      <c r="A17" s="20" t="s">
        <v>42</v>
      </c>
      <c r="B17" s="21"/>
      <c r="C17" s="13">
        <f>C16/C13</f>
        <v>73.50132042253523</v>
      </c>
      <c r="D17" s="11" t="s">
        <v>43</v>
      </c>
    </row>
    <row r="18" spans="1:4" ht="18.95" hidden="1" customHeight="1" x14ac:dyDescent="0.25">
      <c r="A18" s="20" t="s">
        <v>44</v>
      </c>
      <c r="B18" s="21"/>
      <c r="C18" s="13">
        <f>C32/C31*1000/2</f>
        <v>45.35065920137329</v>
      </c>
      <c r="D18" s="11" t="s">
        <v>3</v>
      </c>
    </row>
    <row r="19" spans="1:4" ht="15.75" x14ac:dyDescent="0.25"/>
    <row r="20" spans="1:4" ht="18.75" hidden="1" x14ac:dyDescent="0.25">
      <c r="B20" s="2" t="s">
        <v>6</v>
      </c>
      <c r="C20" s="2">
        <f>2*C2*C3</f>
        <v>36</v>
      </c>
      <c r="D20" s="2" t="s">
        <v>7</v>
      </c>
    </row>
    <row r="21" spans="1:4" ht="18.75" hidden="1" x14ac:dyDescent="0.25">
      <c r="B21" s="2" t="s">
        <v>12</v>
      </c>
      <c r="C21" s="3">
        <f>INDEX(Опалубка!C2:C17,MATCH(B5,Опалубка!A2:A13,0),1)</f>
        <v>0.10588235294117646</v>
      </c>
      <c r="D21" s="2" t="s">
        <v>13</v>
      </c>
    </row>
    <row r="22" spans="1:4" ht="18.75" hidden="1" x14ac:dyDescent="0.25">
      <c r="B22" s="2" t="s">
        <v>23</v>
      </c>
      <c r="C22" s="3">
        <f>INDEX(Теплоизоляция!C2:C17,MATCH(B6,Теплоизоляция!A2:A13,0),1)</f>
        <v>0</v>
      </c>
      <c r="D22" s="2" t="s">
        <v>13</v>
      </c>
    </row>
    <row r="23" spans="1:4" ht="18.75" hidden="1" x14ac:dyDescent="0.25">
      <c r="B23" s="2" t="s">
        <v>14</v>
      </c>
      <c r="C23" s="3">
        <f>C21+1/30+C22</f>
        <v>0.13921568627450978</v>
      </c>
      <c r="D23" s="2" t="s">
        <v>13</v>
      </c>
    </row>
    <row r="24" spans="1:4" ht="15.75" hidden="1" x14ac:dyDescent="0.25">
      <c r="B24" s="2" t="s">
        <v>19</v>
      </c>
      <c r="C24" s="2">
        <f>C8-C9</f>
        <v>55</v>
      </c>
      <c r="D24" s="2" t="s">
        <v>15</v>
      </c>
    </row>
    <row r="25" spans="1:4" ht="15.75" hidden="1" x14ac:dyDescent="0.25">
      <c r="B25" s="2" t="s">
        <v>20</v>
      </c>
      <c r="C25" s="2">
        <f>C8-C7</f>
        <v>35</v>
      </c>
      <c r="D25" s="2" t="s">
        <v>15</v>
      </c>
    </row>
    <row r="26" spans="1:4" ht="15.75" hidden="1" x14ac:dyDescent="0.25">
      <c r="B26" s="2" t="s">
        <v>24</v>
      </c>
      <c r="C26" s="4">
        <f>C24/C23*C20</f>
        <v>14222.535211267608</v>
      </c>
      <c r="D26" s="2" t="s">
        <v>25</v>
      </c>
    </row>
    <row r="27" spans="1:4" ht="18.75" hidden="1" x14ac:dyDescent="0.25">
      <c r="B27" s="2" t="s">
        <v>27</v>
      </c>
      <c r="C27" s="6">
        <f>INDEX(Бетоны!C2:C37,MATCH(B11,Бетоны!A2:A37,0),1)</f>
        <v>1800</v>
      </c>
      <c r="D27" s="2" t="s">
        <v>29</v>
      </c>
    </row>
    <row r="28" spans="1:4" ht="15.75" hidden="1" x14ac:dyDescent="0.25">
      <c r="B28" s="2" t="s">
        <v>28</v>
      </c>
      <c r="C28" s="2">
        <f>INDEX(Бетоны!D2:D37,MATCH(B11,Бетоны!A2:A37,0),1)</f>
        <v>840</v>
      </c>
      <c r="D28" s="2" t="s">
        <v>30</v>
      </c>
    </row>
    <row r="29" spans="1:4" ht="15.75" hidden="1" x14ac:dyDescent="0.25">
      <c r="B29" s="2" t="s">
        <v>31</v>
      </c>
      <c r="C29" s="6">
        <f>C27*C13</f>
        <v>9720</v>
      </c>
      <c r="D29" s="2" t="s">
        <v>32</v>
      </c>
    </row>
    <row r="30" spans="1:4" ht="15.75" hidden="1" x14ac:dyDescent="0.25">
      <c r="B30" s="2" t="s">
        <v>33</v>
      </c>
      <c r="C30" s="4">
        <f>C28*C29*C25/(C10*3600)</f>
        <v>1653.75</v>
      </c>
      <c r="D30" s="2" t="s">
        <v>25</v>
      </c>
    </row>
    <row r="31" spans="1:4" ht="18.75" hidden="1" x14ac:dyDescent="0.25">
      <c r="B31" s="2" t="s">
        <v>38</v>
      </c>
      <c r="C31" s="6">
        <f>C14/C20</f>
        <v>441.00792253521132</v>
      </c>
      <c r="D31" s="2" t="s">
        <v>45</v>
      </c>
    </row>
    <row r="32" spans="1:4" ht="15.75" hidden="1" x14ac:dyDescent="0.25">
      <c r="B32" s="2" t="s">
        <v>39</v>
      </c>
      <c r="C32" s="6">
        <v>40</v>
      </c>
      <c r="D32" s="2" t="s">
        <v>40</v>
      </c>
    </row>
    <row r="33" ht="15.75" x14ac:dyDescent="0.25"/>
  </sheetData>
  <mergeCells count="14">
    <mergeCell ref="A18:B18"/>
    <mergeCell ref="B5:D5"/>
    <mergeCell ref="B6:D6"/>
    <mergeCell ref="B11:D11"/>
    <mergeCell ref="A1:D1"/>
    <mergeCell ref="A2:A4"/>
    <mergeCell ref="A5:A6"/>
    <mergeCell ref="A7:A10"/>
    <mergeCell ref="A12:D12"/>
    <mergeCell ref="A13:B13"/>
    <mergeCell ref="A14:B14"/>
    <mergeCell ref="A15:B15"/>
    <mergeCell ref="A16:B16"/>
    <mergeCell ref="A17:B17"/>
  </mergeCells>
  <conditionalFormatting sqref="C17">
    <cfRule type="cellIs" dxfId="7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Теплоизоляция!$A$2:$A$37</xm:f>
          </x14:formula1>
          <xm:sqref>B6:D6</xm:sqref>
        </x14:dataValidation>
        <x14:dataValidation type="list" allowBlank="1" showInputMessage="1" showErrorMessage="1">
          <x14:formula1>
            <xm:f>Бетоны!$A$2:$A$5</xm:f>
          </x14:formula1>
          <xm:sqref>B11:D11</xm:sqref>
        </x14:dataValidation>
        <x14:dataValidation type="list" allowBlank="1" showInputMessage="1" showErrorMessage="1">
          <x14:formula1>
            <xm:f>Опалубка!$A$3:$A$60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view="pageBreakPreview" zoomScale="115" zoomScaleNormal="100" zoomScaleSheetLayoutView="115" workbookViewId="0">
      <selection activeCell="B40" sqref="B40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4" width="9.140625" style="1"/>
    <col min="5" max="5" width="35.140625" style="1" customWidth="1"/>
    <col min="6" max="6" width="13.140625" style="1" bestFit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1" t="s">
        <v>50</v>
      </c>
      <c r="C2" s="12">
        <v>6</v>
      </c>
      <c r="D2" s="11" t="s">
        <v>1</v>
      </c>
    </row>
    <row r="3" spans="1:4" ht="18.95" customHeight="1" x14ac:dyDescent="0.25">
      <c r="A3" s="24"/>
      <c r="B3" s="11" t="s">
        <v>51</v>
      </c>
      <c r="C3" s="12">
        <v>2</v>
      </c>
      <c r="D3" s="11" t="s">
        <v>1</v>
      </c>
    </row>
    <row r="4" spans="1:4" ht="18.95" customHeight="1" x14ac:dyDescent="0.25">
      <c r="A4" s="24"/>
      <c r="B4" s="11" t="s">
        <v>52</v>
      </c>
      <c r="C4" s="12">
        <v>200</v>
      </c>
      <c r="D4" s="11" t="s">
        <v>3</v>
      </c>
    </row>
    <row r="5" spans="1:4" ht="28.5" hidden="1" customHeight="1" x14ac:dyDescent="0.25">
      <c r="B5" s="22" t="s">
        <v>55</v>
      </c>
      <c r="C5" s="23"/>
      <c r="D5" s="23"/>
    </row>
    <row r="6" spans="1:4" ht="38.1" customHeight="1" x14ac:dyDescent="0.25">
      <c r="A6" s="17" t="s">
        <v>83</v>
      </c>
      <c r="B6" s="22" t="s">
        <v>77</v>
      </c>
      <c r="C6" s="23"/>
      <c r="D6" s="23"/>
    </row>
    <row r="7" spans="1:4" ht="28.5" customHeight="1" x14ac:dyDescent="0.25">
      <c r="A7" s="17" t="s">
        <v>84</v>
      </c>
      <c r="B7" s="22" t="s">
        <v>69</v>
      </c>
      <c r="C7" s="23"/>
      <c r="D7" s="23"/>
    </row>
    <row r="8" spans="1:4" ht="28.5" hidden="1" customHeight="1" x14ac:dyDescent="0.25">
      <c r="A8" s="19"/>
      <c r="B8" s="22" t="s">
        <v>71</v>
      </c>
      <c r="C8" s="23"/>
      <c r="D8" s="23"/>
    </row>
    <row r="9" spans="1:4" ht="18.95" customHeight="1" x14ac:dyDescent="0.25">
      <c r="A9" s="28" t="s">
        <v>66</v>
      </c>
      <c r="B9" s="11" t="s">
        <v>16</v>
      </c>
      <c r="C9" s="12">
        <v>8</v>
      </c>
      <c r="D9" s="11" t="s">
        <v>15</v>
      </c>
    </row>
    <row r="10" spans="1:4" ht="18.95" customHeight="1" x14ac:dyDescent="0.25">
      <c r="A10" s="29"/>
      <c r="B10" s="11" t="s">
        <v>17</v>
      </c>
      <c r="C10" s="12">
        <v>25</v>
      </c>
      <c r="D10" s="11" t="s">
        <v>15</v>
      </c>
    </row>
    <row r="11" spans="1:4" ht="38.1" customHeight="1" x14ac:dyDescent="0.25">
      <c r="A11" s="29"/>
      <c r="B11" s="11" t="s">
        <v>74</v>
      </c>
      <c r="C11" s="12">
        <v>-15</v>
      </c>
      <c r="D11" s="11" t="s">
        <v>15</v>
      </c>
    </row>
    <row r="12" spans="1:4" ht="38.1" customHeight="1" x14ac:dyDescent="0.25">
      <c r="A12" s="29"/>
      <c r="B12" s="11" t="s">
        <v>75</v>
      </c>
      <c r="C12" s="12">
        <v>-15</v>
      </c>
      <c r="D12" s="11" t="s">
        <v>15</v>
      </c>
    </row>
    <row r="13" spans="1:4" ht="18.95" customHeight="1" x14ac:dyDescent="0.25">
      <c r="A13" s="30"/>
      <c r="B13" s="11" t="s">
        <v>34</v>
      </c>
      <c r="C13" s="12">
        <v>4</v>
      </c>
      <c r="D13" s="11" t="s">
        <v>35</v>
      </c>
    </row>
    <row r="14" spans="1:4" ht="18.95" customHeight="1" x14ac:dyDescent="0.25">
      <c r="A14" s="11" t="s">
        <v>67</v>
      </c>
      <c r="B14" s="22" t="s">
        <v>80</v>
      </c>
      <c r="C14" s="23"/>
      <c r="D14" s="23"/>
    </row>
    <row r="15" spans="1:4" ht="18.95" customHeight="1" x14ac:dyDescent="0.25">
      <c r="A15" s="20" t="s">
        <v>68</v>
      </c>
      <c r="B15" s="24"/>
      <c r="C15" s="24"/>
      <c r="D15" s="24"/>
    </row>
    <row r="16" spans="1:4" ht="18.95" customHeight="1" x14ac:dyDescent="0.25">
      <c r="A16" s="20" t="s">
        <v>4</v>
      </c>
      <c r="B16" s="24"/>
      <c r="C16" s="16">
        <f>C2*C3*C4/1000</f>
        <v>2.4</v>
      </c>
      <c r="D16" s="11" t="s">
        <v>5</v>
      </c>
    </row>
    <row r="17" spans="1:7" ht="18.95" customHeight="1" x14ac:dyDescent="0.25">
      <c r="A17" s="20" t="s">
        <v>36</v>
      </c>
      <c r="B17" s="24"/>
      <c r="C17" s="13">
        <f>C30+C34+F30</f>
        <v>13662.666666666666</v>
      </c>
      <c r="D17" s="11" t="s">
        <v>25</v>
      </c>
    </row>
    <row r="18" spans="1:7" ht="18.95" customHeight="1" x14ac:dyDescent="0.25">
      <c r="A18" s="20" t="s">
        <v>38</v>
      </c>
      <c r="B18" s="24"/>
      <c r="C18" s="13">
        <f>C17/C16</f>
        <v>5692.7777777777774</v>
      </c>
      <c r="D18" s="11" t="s">
        <v>37</v>
      </c>
    </row>
    <row r="19" spans="1:7" ht="18.95" customHeight="1" x14ac:dyDescent="0.25">
      <c r="A19" s="20" t="s">
        <v>41</v>
      </c>
      <c r="B19" s="24"/>
      <c r="C19" s="16">
        <f>C17/C36</f>
        <v>341.56666666666666</v>
      </c>
      <c r="D19" s="11" t="s">
        <v>1</v>
      </c>
    </row>
    <row r="20" spans="1:7" ht="18.95" customHeight="1" x14ac:dyDescent="0.25">
      <c r="A20" s="20" t="s">
        <v>42</v>
      </c>
      <c r="B20" s="24"/>
      <c r="C20" s="13">
        <f>C19/C16</f>
        <v>142.31944444444446</v>
      </c>
      <c r="D20" s="11" t="s">
        <v>43</v>
      </c>
    </row>
    <row r="21" spans="1:7" ht="18.95" hidden="1" customHeight="1" x14ac:dyDescent="0.25">
      <c r="A21" s="20" t="s">
        <v>44</v>
      </c>
      <c r="B21" s="21"/>
      <c r="C21" s="13">
        <f>C36/C35*1000/2</f>
        <v>35.132233824534019</v>
      </c>
      <c r="D21" s="11" t="s">
        <v>3</v>
      </c>
    </row>
    <row r="23" spans="1:7" ht="18.95" hidden="1" customHeight="1" x14ac:dyDescent="0.25">
      <c r="B23" s="2" t="s">
        <v>6</v>
      </c>
      <c r="C23" s="2">
        <f>C2*C3</f>
        <v>12</v>
      </c>
      <c r="D23" s="2" t="s">
        <v>7</v>
      </c>
      <c r="E23" s="2" t="s">
        <v>6</v>
      </c>
      <c r="F23" s="2">
        <f>C2*C3</f>
        <v>12</v>
      </c>
      <c r="G23" s="2" t="s">
        <v>7</v>
      </c>
    </row>
    <row r="24" spans="1:7" ht="18.95" hidden="1" customHeight="1" x14ac:dyDescent="0.25">
      <c r="B24" s="25" t="s">
        <v>53</v>
      </c>
      <c r="C24" s="26"/>
      <c r="D24" s="27"/>
      <c r="E24" s="25" t="s">
        <v>54</v>
      </c>
      <c r="F24" s="26"/>
      <c r="G24" s="27"/>
    </row>
    <row r="25" spans="1:7" ht="18.95" hidden="1" customHeight="1" x14ac:dyDescent="0.25">
      <c r="B25" s="2" t="s">
        <v>12</v>
      </c>
      <c r="C25" s="3">
        <f>INDEX(Опалубка!C2:C17,MATCH(B7,Опалубка!A2:A13,0),1)</f>
        <v>0.14666666666666667</v>
      </c>
      <c r="D25" s="2" t="s">
        <v>13</v>
      </c>
      <c r="E25" s="2" t="s">
        <v>12</v>
      </c>
      <c r="F25" s="3">
        <f>INDEX(Опалубка!C2:C17,MATCH(B5,Опалубка!A2:A13,0),1)</f>
        <v>0</v>
      </c>
      <c r="G25" s="2" t="s">
        <v>13</v>
      </c>
    </row>
    <row r="26" spans="1:7" ht="18.95" hidden="1" customHeight="1" x14ac:dyDescent="0.25">
      <c r="B26" s="2" t="s">
        <v>23</v>
      </c>
      <c r="C26" s="3">
        <f>INDEX(Теплоизоляция!C2:C17,MATCH(B8,Теплоизоляция!A2:A13,0),1)</f>
        <v>0</v>
      </c>
      <c r="D26" s="2" t="s">
        <v>13</v>
      </c>
      <c r="E26" s="2" t="s">
        <v>23</v>
      </c>
      <c r="F26" s="3">
        <f>INDEX(Теплоизоляция!C2:C17,MATCH(B6,Теплоизоляция!A2:A13,0),1)</f>
        <v>0.05</v>
      </c>
      <c r="G26" s="2" t="s">
        <v>13</v>
      </c>
    </row>
    <row r="27" spans="1:7" ht="18.95" hidden="1" customHeight="1" x14ac:dyDescent="0.25">
      <c r="B27" s="2" t="s">
        <v>14</v>
      </c>
      <c r="C27" s="3">
        <f>C25+1/30+C26</f>
        <v>0.18</v>
      </c>
      <c r="D27" s="2" t="s">
        <v>13</v>
      </c>
      <c r="E27" s="2" t="s">
        <v>14</v>
      </c>
      <c r="F27" s="3">
        <f>F25+1/30+F26</f>
        <v>8.3333333333333343E-2</v>
      </c>
      <c r="G27" s="2" t="s">
        <v>13</v>
      </c>
    </row>
    <row r="28" spans="1:7" ht="18.95" hidden="1" customHeight="1" x14ac:dyDescent="0.25">
      <c r="B28" s="2" t="s">
        <v>19</v>
      </c>
      <c r="C28" s="2">
        <f>C10-C12</f>
        <v>40</v>
      </c>
      <c r="D28" s="2" t="s">
        <v>15</v>
      </c>
      <c r="E28" s="2" t="s">
        <v>19</v>
      </c>
      <c r="F28" s="2">
        <f>C10-C11</f>
        <v>40</v>
      </c>
      <c r="G28" s="2" t="s">
        <v>15</v>
      </c>
    </row>
    <row r="29" spans="1:7" ht="18.95" hidden="1" customHeight="1" x14ac:dyDescent="0.25">
      <c r="B29" s="2" t="s">
        <v>20</v>
      </c>
      <c r="C29" s="2">
        <f>C10-C9</f>
        <v>17</v>
      </c>
      <c r="D29" s="2" t="s">
        <v>15</v>
      </c>
    </row>
    <row r="30" spans="1:7" ht="18.95" hidden="1" customHeight="1" x14ac:dyDescent="0.25">
      <c r="B30" s="2" t="s">
        <v>24</v>
      </c>
      <c r="C30" s="4">
        <f>C28/C27*C23</f>
        <v>2666.666666666667</v>
      </c>
      <c r="D30" s="2" t="s">
        <v>25</v>
      </c>
      <c r="E30" s="2" t="s">
        <v>24</v>
      </c>
      <c r="F30" s="4">
        <f>F28/F27*F23</f>
        <v>5759.9999999999991</v>
      </c>
      <c r="G30" s="2" t="s">
        <v>25</v>
      </c>
    </row>
    <row r="31" spans="1:7" ht="18.95" hidden="1" customHeight="1" x14ac:dyDescent="0.25">
      <c r="B31" s="2" t="s">
        <v>27</v>
      </c>
      <c r="C31" s="6">
        <f>INDEX(Бетоны!C2:C37,MATCH(B14,Бетоны!A2:A37,0),1)</f>
        <v>2200</v>
      </c>
      <c r="D31" s="2" t="s">
        <v>29</v>
      </c>
    </row>
    <row r="32" spans="1:7" ht="18.95" hidden="1" customHeight="1" x14ac:dyDescent="0.25">
      <c r="B32" s="2" t="s">
        <v>28</v>
      </c>
      <c r="C32" s="2">
        <f>INDEX(Бетоны!D2:D37,MATCH(B14,Бетоны!A2:A37,0),1)</f>
        <v>840</v>
      </c>
      <c r="D32" s="2" t="s">
        <v>30</v>
      </c>
    </row>
    <row r="33" spans="2:4" ht="18.95" hidden="1" customHeight="1" x14ac:dyDescent="0.25">
      <c r="B33" s="2" t="s">
        <v>31</v>
      </c>
      <c r="C33" s="6">
        <f>C31*C16</f>
        <v>5280</v>
      </c>
      <c r="D33" s="2" t="s">
        <v>32</v>
      </c>
    </row>
    <row r="34" spans="2:4" ht="18.95" hidden="1" customHeight="1" x14ac:dyDescent="0.25">
      <c r="B34" s="2" t="s">
        <v>33</v>
      </c>
      <c r="C34" s="4">
        <f>C32*C33*C29/(C13*3600)</f>
        <v>5236</v>
      </c>
      <c r="D34" s="2" t="s">
        <v>25</v>
      </c>
    </row>
    <row r="35" spans="2:4" ht="18.95" hidden="1" customHeight="1" x14ac:dyDescent="0.25">
      <c r="B35" s="2" t="s">
        <v>38</v>
      </c>
      <c r="C35" s="6">
        <f>C17/(C23*2)</f>
        <v>569.27777777777771</v>
      </c>
      <c r="D35" s="2" t="s">
        <v>45</v>
      </c>
    </row>
    <row r="36" spans="2:4" ht="18.95" hidden="1" customHeight="1" x14ac:dyDescent="0.25">
      <c r="B36" s="2" t="s">
        <v>39</v>
      </c>
      <c r="C36" s="6">
        <v>40</v>
      </c>
      <c r="D36" s="2" t="s">
        <v>40</v>
      </c>
    </row>
  </sheetData>
  <mergeCells count="17">
    <mergeCell ref="A1:D1"/>
    <mergeCell ref="A2:A4"/>
    <mergeCell ref="B5:D5"/>
    <mergeCell ref="B6:D6"/>
    <mergeCell ref="A9:A13"/>
    <mergeCell ref="B14:D14"/>
    <mergeCell ref="B24:D24"/>
    <mergeCell ref="E24:G24"/>
    <mergeCell ref="B7:D7"/>
    <mergeCell ref="B8:D8"/>
    <mergeCell ref="A20:B20"/>
    <mergeCell ref="A21:B21"/>
    <mergeCell ref="A15:D15"/>
    <mergeCell ref="A16:B16"/>
    <mergeCell ref="A17:B17"/>
    <mergeCell ref="A18:B18"/>
    <mergeCell ref="A19:B19"/>
  </mergeCells>
  <conditionalFormatting sqref="C20">
    <cfRule type="cellIs" dxfId="6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Опалубка!$A$2:$A$60</xm:f>
          </x14:formula1>
          <xm:sqref>B5:D5</xm:sqref>
        </x14:dataValidation>
        <x14:dataValidation type="list" allowBlank="1" showInputMessage="1" showErrorMessage="1">
          <x14:formula1>
            <xm:f>Бетоны!$A$2:$A$5</xm:f>
          </x14:formula1>
          <xm:sqref>B14:D14</xm:sqref>
        </x14:dataValidation>
        <x14:dataValidation type="list" allowBlank="1" showInputMessage="1" showErrorMessage="1">
          <x14:formula1>
            <xm:f>Опалубка!$A$3:$A$60</xm:f>
          </x14:formula1>
          <xm:sqref>B7:D7</xm:sqref>
        </x14:dataValidation>
        <x14:dataValidation type="list" allowBlank="1" showInputMessage="1" showErrorMessage="1">
          <x14:formula1>
            <xm:f>Теплоизоляция!$A$2:$A$37</xm:f>
          </x14:formula1>
          <xm:sqref>B6:D6 B8:D8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2"/>
  <sheetViews>
    <sheetView view="pageBreakPreview" zoomScale="130" zoomScaleNormal="100" zoomScaleSheetLayoutView="130" workbookViewId="0">
      <selection activeCell="C18" sqref="C18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1" t="s">
        <v>48</v>
      </c>
      <c r="C2" s="12">
        <v>2</v>
      </c>
      <c r="D2" s="11" t="s">
        <v>1</v>
      </c>
    </row>
    <row r="3" spans="1:4" ht="18.95" customHeight="1" x14ac:dyDescent="0.25">
      <c r="A3" s="24"/>
      <c r="B3" s="11" t="s">
        <v>56</v>
      </c>
      <c r="C3" s="12">
        <v>200</v>
      </c>
      <c r="D3" s="11" t="s">
        <v>3</v>
      </c>
    </row>
    <row r="4" spans="1:4" ht="18.95" customHeight="1" x14ac:dyDescent="0.25">
      <c r="A4" s="24"/>
      <c r="B4" s="11" t="s">
        <v>57</v>
      </c>
      <c r="C4" s="12">
        <v>200</v>
      </c>
      <c r="D4" s="11" t="s">
        <v>3</v>
      </c>
    </row>
    <row r="5" spans="1:4" ht="18.95" customHeight="1" x14ac:dyDescent="0.25">
      <c r="A5" s="20" t="s">
        <v>65</v>
      </c>
      <c r="B5" s="22" t="s">
        <v>47</v>
      </c>
      <c r="C5" s="23"/>
      <c r="D5" s="23"/>
    </row>
    <row r="6" spans="1:4" ht="18.95" customHeight="1" x14ac:dyDescent="0.25">
      <c r="A6" s="24"/>
      <c r="B6" s="22" t="s">
        <v>71</v>
      </c>
      <c r="C6" s="23"/>
      <c r="D6" s="23"/>
    </row>
    <row r="7" spans="1:4" ht="18.95" customHeight="1" x14ac:dyDescent="0.25">
      <c r="A7" s="20" t="s">
        <v>66</v>
      </c>
      <c r="B7" s="11" t="s">
        <v>16</v>
      </c>
      <c r="C7" s="12">
        <v>8</v>
      </c>
      <c r="D7" s="11" t="s">
        <v>15</v>
      </c>
    </row>
    <row r="8" spans="1:4" ht="18.95" customHeight="1" x14ac:dyDescent="0.25">
      <c r="A8" s="21"/>
      <c r="B8" s="11" t="s">
        <v>17</v>
      </c>
      <c r="C8" s="12">
        <v>25</v>
      </c>
      <c r="D8" s="11" t="s">
        <v>15</v>
      </c>
    </row>
    <row r="9" spans="1:4" ht="18.95" customHeight="1" x14ac:dyDescent="0.25">
      <c r="A9" s="21"/>
      <c r="B9" s="11" t="s">
        <v>18</v>
      </c>
      <c r="C9" s="12">
        <v>-15</v>
      </c>
      <c r="D9" s="11" t="s">
        <v>15</v>
      </c>
    </row>
    <row r="10" spans="1:4" ht="18.95" customHeight="1" x14ac:dyDescent="0.25">
      <c r="A10" s="21"/>
      <c r="B10" s="11" t="s">
        <v>34</v>
      </c>
      <c r="C10" s="12">
        <v>4</v>
      </c>
      <c r="D10" s="11" t="s">
        <v>35</v>
      </c>
    </row>
    <row r="11" spans="1:4" ht="18.95" customHeight="1" x14ac:dyDescent="0.25">
      <c r="A11" s="11" t="s">
        <v>67</v>
      </c>
      <c r="B11" s="22" t="s">
        <v>79</v>
      </c>
      <c r="C11" s="23"/>
      <c r="D11" s="23"/>
    </row>
    <row r="12" spans="1:4" ht="18.95" customHeight="1" x14ac:dyDescent="0.25">
      <c r="A12" s="20" t="s">
        <v>68</v>
      </c>
      <c r="B12" s="24"/>
      <c r="C12" s="24"/>
      <c r="D12" s="24"/>
    </row>
    <row r="13" spans="1:4" ht="18.95" customHeight="1" x14ac:dyDescent="0.25">
      <c r="A13" s="20" t="s">
        <v>4</v>
      </c>
      <c r="B13" s="21"/>
      <c r="C13" s="16">
        <f>C2*C3*C4/1000/1000</f>
        <v>0.08</v>
      </c>
      <c r="D13" s="11" t="s">
        <v>5</v>
      </c>
    </row>
    <row r="14" spans="1:4" ht="18.95" customHeight="1" x14ac:dyDescent="0.25">
      <c r="A14" s="20" t="s">
        <v>36</v>
      </c>
      <c r="B14" s="21"/>
      <c r="C14" s="13">
        <f>C26+C30</f>
        <v>602.51830985915512</v>
      </c>
      <c r="D14" s="11" t="s">
        <v>25</v>
      </c>
    </row>
    <row r="15" spans="1:4" ht="18.95" customHeight="1" x14ac:dyDescent="0.25">
      <c r="A15" s="20" t="s">
        <v>38</v>
      </c>
      <c r="B15" s="21"/>
      <c r="C15" s="13">
        <f>C14/C13</f>
        <v>7531.4788732394391</v>
      </c>
      <c r="D15" s="11" t="s">
        <v>37</v>
      </c>
    </row>
    <row r="16" spans="1:4" ht="18.95" customHeight="1" x14ac:dyDescent="0.25">
      <c r="A16" s="20" t="s">
        <v>41</v>
      </c>
      <c r="B16" s="21"/>
      <c r="C16" s="16">
        <f>C14/C32</f>
        <v>15.062957746478878</v>
      </c>
      <c r="D16" s="11" t="s">
        <v>1</v>
      </c>
    </row>
    <row r="17" spans="1:4" ht="18.95" customHeight="1" x14ac:dyDescent="0.25">
      <c r="A17" s="20" t="s">
        <v>42</v>
      </c>
      <c r="B17" s="21"/>
      <c r="C17" s="13">
        <f>C16/C13</f>
        <v>188.28697183098598</v>
      </c>
      <c r="D17" s="11" t="s">
        <v>43</v>
      </c>
    </row>
    <row r="18" spans="1:4" ht="18.95" customHeight="1" x14ac:dyDescent="0.25">
      <c r="A18" s="20" t="s">
        <v>44</v>
      </c>
      <c r="B18" s="21"/>
      <c r="C18" s="13">
        <f>C32/C31*1000/2</f>
        <v>53.11041917959362</v>
      </c>
      <c r="D18" s="11" t="s">
        <v>3</v>
      </c>
    </row>
    <row r="20" spans="1:4" ht="18.95" hidden="1" customHeight="1" x14ac:dyDescent="0.25">
      <c r="B20" s="2" t="s">
        <v>6</v>
      </c>
      <c r="C20" s="2">
        <f>(C3+C4)*2/1000*C2</f>
        <v>1.6</v>
      </c>
      <c r="D20" s="2" t="s">
        <v>7</v>
      </c>
    </row>
    <row r="21" spans="1:4" ht="18.95" hidden="1" customHeight="1" x14ac:dyDescent="0.25">
      <c r="B21" s="2" t="s">
        <v>12</v>
      </c>
      <c r="C21" s="3">
        <f>INDEX(Опалубка!C2:C17,MATCH(B5,Опалубка!A2:A13,0),1)</f>
        <v>0.10588235294117646</v>
      </c>
      <c r="D21" s="2" t="s">
        <v>13</v>
      </c>
    </row>
    <row r="22" spans="1:4" ht="18.95" hidden="1" customHeight="1" x14ac:dyDescent="0.25">
      <c r="B22" s="2" t="s">
        <v>23</v>
      </c>
      <c r="C22" s="3">
        <f>INDEX(Теплоизоляция!C2:C17,MATCH(B6,Теплоизоляция!A2:A13,0),1)</f>
        <v>0</v>
      </c>
      <c r="D22" s="2" t="s">
        <v>13</v>
      </c>
    </row>
    <row r="23" spans="1:4" ht="18.95" hidden="1" customHeight="1" x14ac:dyDescent="0.25">
      <c r="B23" s="2" t="s">
        <v>14</v>
      </c>
      <c r="C23" s="3">
        <f>C21+1/30+C22</f>
        <v>0.13921568627450978</v>
      </c>
      <c r="D23" s="2" t="s">
        <v>13</v>
      </c>
    </row>
    <row r="24" spans="1:4" ht="18.95" hidden="1" customHeight="1" x14ac:dyDescent="0.25">
      <c r="B24" s="2" t="s">
        <v>19</v>
      </c>
      <c r="C24" s="2">
        <f>C8-C9</f>
        <v>40</v>
      </c>
      <c r="D24" s="2" t="s">
        <v>15</v>
      </c>
    </row>
    <row r="25" spans="1:4" ht="18.95" hidden="1" customHeight="1" x14ac:dyDescent="0.25">
      <c r="B25" s="2" t="s">
        <v>20</v>
      </c>
      <c r="C25" s="2">
        <f>C8-C7</f>
        <v>17</v>
      </c>
      <c r="D25" s="2" t="s">
        <v>15</v>
      </c>
    </row>
    <row r="26" spans="1:4" ht="18.95" hidden="1" customHeight="1" x14ac:dyDescent="0.25">
      <c r="B26" s="2" t="s">
        <v>24</v>
      </c>
      <c r="C26" s="4">
        <f>C24/C23*C20</f>
        <v>459.71830985915506</v>
      </c>
      <c r="D26" s="2" t="s">
        <v>25</v>
      </c>
    </row>
    <row r="27" spans="1:4" ht="18.95" hidden="1" customHeight="1" x14ac:dyDescent="0.25">
      <c r="B27" s="2" t="s">
        <v>27</v>
      </c>
      <c r="C27" s="6">
        <f>INDEX(Бетоны!C2:C37,MATCH(B11,Бетоны!A2:A37,0),1)</f>
        <v>1800</v>
      </c>
      <c r="D27" s="2" t="s">
        <v>29</v>
      </c>
    </row>
    <row r="28" spans="1:4" ht="18.95" hidden="1" customHeight="1" x14ac:dyDescent="0.25">
      <c r="B28" s="2" t="s">
        <v>28</v>
      </c>
      <c r="C28" s="2">
        <f>INDEX(Бетоны!D2:D37,MATCH(B11,Бетоны!A2:A37,0),1)</f>
        <v>840</v>
      </c>
      <c r="D28" s="2" t="s">
        <v>30</v>
      </c>
    </row>
    <row r="29" spans="1:4" ht="18.95" hidden="1" customHeight="1" x14ac:dyDescent="0.25">
      <c r="B29" s="2" t="s">
        <v>31</v>
      </c>
      <c r="C29" s="6">
        <f>C27*C13</f>
        <v>144</v>
      </c>
      <c r="D29" s="2" t="s">
        <v>32</v>
      </c>
    </row>
    <row r="30" spans="1:4" ht="18.95" hidden="1" customHeight="1" x14ac:dyDescent="0.25">
      <c r="B30" s="2" t="s">
        <v>33</v>
      </c>
      <c r="C30" s="4">
        <f>C28*C29*C25/(C10*3600)</f>
        <v>142.80000000000001</v>
      </c>
      <c r="D30" s="2" t="s">
        <v>25</v>
      </c>
    </row>
    <row r="31" spans="1:4" ht="18.95" hidden="1" customHeight="1" x14ac:dyDescent="0.25">
      <c r="B31" s="2" t="s">
        <v>38</v>
      </c>
      <c r="C31" s="6">
        <f>C14/C20</f>
        <v>376.57394366197195</v>
      </c>
      <c r="D31" s="2" t="s">
        <v>45</v>
      </c>
    </row>
    <row r="32" spans="1:4" ht="18.95" hidden="1" customHeight="1" x14ac:dyDescent="0.25">
      <c r="B32" s="2" t="s">
        <v>39</v>
      </c>
      <c r="C32" s="6">
        <v>40</v>
      </c>
      <c r="D32" s="2" t="s">
        <v>40</v>
      </c>
    </row>
  </sheetData>
  <mergeCells count="14">
    <mergeCell ref="A18:B18"/>
    <mergeCell ref="B5:D5"/>
    <mergeCell ref="B6:D6"/>
    <mergeCell ref="B11:D11"/>
    <mergeCell ref="A1:D1"/>
    <mergeCell ref="A2:A4"/>
    <mergeCell ref="A5:A6"/>
    <mergeCell ref="A7:A10"/>
    <mergeCell ref="A12:D12"/>
    <mergeCell ref="A13:B13"/>
    <mergeCell ref="A14:B14"/>
    <mergeCell ref="A15:B15"/>
    <mergeCell ref="A16:B16"/>
    <mergeCell ref="A17:B17"/>
  </mergeCells>
  <conditionalFormatting sqref="C17">
    <cfRule type="cellIs" dxfId="5" priority="2" operator="greaterThan">
      <formula>200</formula>
    </cfRule>
  </conditionalFormatting>
  <conditionalFormatting sqref="C18">
    <cfRule type="cellIs" dxfId="4" priority="1" operator="lessThan">
      <formula>60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Теплоизоляция!$A$2:$A$37</xm:f>
          </x14:formula1>
          <xm:sqref>B6:D6</xm:sqref>
        </x14:dataValidation>
        <x14:dataValidation type="list" allowBlank="1" showInputMessage="1" showErrorMessage="1">
          <x14:formula1>
            <xm:f>Бетоны!$A$2:$A$5</xm:f>
          </x14:formula1>
          <xm:sqref>B11:D11</xm:sqref>
        </x14:dataValidation>
        <x14:dataValidation type="list" allowBlank="1" showInputMessage="1" showErrorMessage="1">
          <x14:formula1>
            <xm:f>Опалубка!$A$3:$A$60</xm:f>
          </x14:formula1>
          <xm:sqref>B5:D5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1"/>
  <sheetViews>
    <sheetView view="pageBreakPreview" zoomScale="160" zoomScaleNormal="100" zoomScaleSheetLayoutView="160" workbookViewId="0">
      <selection activeCell="F12" sqref="F12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4" t="s">
        <v>48</v>
      </c>
      <c r="C2" s="15">
        <v>2</v>
      </c>
      <c r="D2" s="14" t="s">
        <v>1</v>
      </c>
    </row>
    <row r="3" spans="1:4" ht="18.95" customHeight="1" x14ac:dyDescent="0.25">
      <c r="A3" s="24"/>
      <c r="B3" s="14" t="s">
        <v>49</v>
      </c>
      <c r="C3" s="15">
        <v>200</v>
      </c>
      <c r="D3" s="14" t="s">
        <v>3</v>
      </c>
    </row>
    <row r="4" spans="1:4" ht="18.95" customHeight="1" x14ac:dyDescent="0.25">
      <c r="A4" s="20" t="s">
        <v>65</v>
      </c>
      <c r="B4" s="22" t="s">
        <v>47</v>
      </c>
      <c r="C4" s="23"/>
      <c r="D4" s="23"/>
    </row>
    <row r="5" spans="1:4" ht="18.95" customHeight="1" x14ac:dyDescent="0.25">
      <c r="A5" s="24"/>
      <c r="B5" s="22" t="s">
        <v>71</v>
      </c>
      <c r="C5" s="23"/>
      <c r="D5" s="23"/>
    </row>
    <row r="6" spans="1:4" ht="18.95" customHeight="1" x14ac:dyDescent="0.25">
      <c r="A6" s="20" t="s">
        <v>66</v>
      </c>
      <c r="B6" s="14" t="s">
        <v>16</v>
      </c>
      <c r="C6" s="15">
        <v>8</v>
      </c>
      <c r="D6" s="14" t="s">
        <v>15</v>
      </c>
    </row>
    <row r="7" spans="1:4" ht="18.95" customHeight="1" x14ac:dyDescent="0.25">
      <c r="A7" s="21"/>
      <c r="B7" s="14" t="s">
        <v>17</v>
      </c>
      <c r="C7" s="15">
        <v>25</v>
      </c>
      <c r="D7" s="14" t="s">
        <v>15</v>
      </c>
    </row>
    <row r="8" spans="1:4" ht="18.95" customHeight="1" x14ac:dyDescent="0.25">
      <c r="A8" s="21"/>
      <c r="B8" s="14" t="s">
        <v>18</v>
      </c>
      <c r="C8" s="15">
        <v>-15</v>
      </c>
      <c r="D8" s="14" t="s">
        <v>15</v>
      </c>
    </row>
    <row r="9" spans="1:4" ht="18.95" customHeight="1" x14ac:dyDescent="0.25">
      <c r="A9" s="21"/>
      <c r="B9" s="14" t="s">
        <v>34</v>
      </c>
      <c r="C9" s="15">
        <v>4</v>
      </c>
      <c r="D9" s="14" t="s">
        <v>35</v>
      </c>
    </row>
    <row r="10" spans="1:4" ht="18.95" customHeight="1" x14ac:dyDescent="0.25">
      <c r="A10" s="14" t="s">
        <v>67</v>
      </c>
      <c r="B10" s="22" t="s">
        <v>81</v>
      </c>
      <c r="C10" s="23"/>
      <c r="D10" s="23"/>
    </row>
    <row r="11" spans="1:4" ht="18.95" customHeight="1" x14ac:dyDescent="0.25">
      <c r="A11" s="20" t="s">
        <v>68</v>
      </c>
      <c r="B11" s="24"/>
      <c r="C11" s="24"/>
      <c r="D11" s="24"/>
    </row>
    <row r="12" spans="1:4" ht="18.95" customHeight="1" x14ac:dyDescent="0.25">
      <c r="A12" s="20" t="s">
        <v>4</v>
      </c>
      <c r="B12" s="21"/>
      <c r="C12" s="16">
        <f>PI()*C3*C3/1000/1000/4*C2</f>
        <v>6.2831853071795868E-2</v>
      </c>
      <c r="D12" s="14" t="s">
        <v>5</v>
      </c>
    </row>
    <row r="13" spans="1:4" ht="18.95" customHeight="1" x14ac:dyDescent="0.25">
      <c r="A13" s="20" t="s">
        <v>36</v>
      </c>
      <c r="B13" s="21"/>
      <c r="C13" s="13">
        <f>C25+C29</f>
        <v>516.83255198405323</v>
      </c>
      <c r="D13" s="14" t="s">
        <v>25</v>
      </c>
    </row>
    <row r="14" spans="1:4" ht="18.95" customHeight="1" x14ac:dyDescent="0.25">
      <c r="A14" s="20" t="s">
        <v>38</v>
      </c>
      <c r="B14" s="21"/>
      <c r="C14" s="13">
        <f>C13/C12</f>
        <v>8225.6455399061033</v>
      </c>
      <c r="D14" s="14" t="s">
        <v>37</v>
      </c>
    </row>
    <row r="15" spans="1:4" ht="18.95" customHeight="1" x14ac:dyDescent="0.25">
      <c r="A15" s="20" t="s">
        <v>41</v>
      </c>
      <c r="B15" s="21"/>
      <c r="C15" s="16">
        <f>C13/C31</f>
        <v>12.92081379960133</v>
      </c>
      <c r="D15" s="14" t="s">
        <v>1</v>
      </c>
    </row>
    <row r="16" spans="1:4" ht="18.95" customHeight="1" x14ac:dyDescent="0.25">
      <c r="A16" s="20" t="s">
        <v>42</v>
      </c>
      <c r="B16" s="21"/>
      <c r="C16" s="13">
        <f>C15/C12</f>
        <v>205.64113849765255</v>
      </c>
      <c r="D16" s="14" t="s">
        <v>43</v>
      </c>
    </row>
    <row r="17" spans="1:4" ht="18.95" customHeight="1" x14ac:dyDescent="0.25">
      <c r="A17" s="20" t="s">
        <v>44</v>
      </c>
      <c r="B17" s="21"/>
      <c r="C17" s="13">
        <f>C31/C30*1000/2</f>
        <v>48.628402240216886</v>
      </c>
      <c r="D17" s="14" t="s">
        <v>3</v>
      </c>
    </row>
    <row r="19" spans="1:4" ht="18.95" hidden="1" customHeight="1" x14ac:dyDescent="0.25">
      <c r="B19" s="2" t="s">
        <v>6</v>
      </c>
      <c r="C19" s="10">
        <f>PI()*C3/1000*C2</f>
        <v>1.2566370614359172</v>
      </c>
      <c r="D19" s="2" t="s">
        <v>7</v>
      </c>
    </row>
    <row r="20" spans="1:4" ht="18.95" hidden="1" customHeight="1" x14ac:dyDescent="0.25">
      <c r="B20" s="2" t="s">
        <v>12</v>
      </c>
      <c r="C20" s="3">
        <f>INDEX(Опалубка!C2:C17,MATCH(B4,Опалубка!A2:A13,0),1)</f>
        <v>0.10588235294117646</v>
      </c>
      <c r="D20" s="2" t="s">
        <v>13</v>
      </c>
    </row>
    <row r="21" spans="1:4" ht="18.95" hidden="1" customHeight="1" x14ac:dyDescent="0.25">
      <c r="B21" s="2" t="s">
        <v>23</v>
      </c>
      <c r="C21" s="3">
        <f>INDEX(Теплоизоляция!C2:C17,MATCH(B5,Теплоизоляция!A2:A13,0),1)</f>
        <v>0</v>
      </c>
      <c r="D21" s="2" t="s">
        <v>13</v>
      </c>
    </row>
    <row r="22" spans="1:4" ht="18.95" hidden="1" customHeight="1" x14ac:dyDescent="0.25">
      <c r="B22" s="2" t="s">
        <v>14</v>
      </c>
      <c r="C22" s="3">
        <f>C20+1/30+C21</f>
        <v>0.13921568627450978</v>
      </c>
      <c r="D22" s="2" t="s">
        <v>13</v>
      </c>
    </row>
    <row r="23" spans="1:4" ht="18.95" hidden="1" customHeight="1" x14ac:dyDescent="0.25">
      <c r="B23" s="2" t="s">
        <v>19</v>
      </c>
      <c r="C23" s="2">
        <f>C7-C8</f>
        <v>40</v>
      </c>
      <c r="D23" s="2" t="s">
        <v>15</v>
      </c>
    </row>
    <row r="24" spans="1:4" ht="18.95" hidden="1" customHeight="1" x14ac:dyDescent="0.25">
      <c r="B24" s="2" t="s">
        <v>20</v>
      </c>
      <c r="C24" s="2">
        <f>C7-C6</f>
        <v>17</v>
      </c>
      <c r="D24" s="2" t="s">
        <v>15</v>
      </c>
    </row>
    <row r="25" spans="1:4" ht="18.95" hidden="1" customHeight="1" x14ac:dyDescent="0.25">
      <c r="B25" s="2" t="s">
        <v>24</v>
      </c>
      <c r="C25" s="4">
        <f>C23/C22*C19</f>
        <v>361.06191624355938</v>
      </c>
      <c r="D25" s="2" t="s">
        <v>25</v>
      </c>
    </row>
    <row r="26" spans="1:4" ht="18.95" hidden="1" customHeight="1" x14ac:dyDescent="0.25">
      <c r="B26" s="2" t="s">
        <v>27</v>
      </c>
      <c r="C26" s="6">
        <f>INDEX(Бетоны!C2:C37,MATCH(B10,Бетоны!A2:A37,0),1)</f>
        <v>2500</v>
      </c>
      <c r="D26" s="2" t="s">
        <v>29</v>
      </c>
    </row>
    <row r="27" spans="1:4" ht="18.95" hidden="1" customHeight="1" x14ac:dyDescent="0.25">
      <c r="B27" s="2" t="s">
        <v>28</v>
      </c>
      <c r="C27" s="2">
        <f>INDEX(Бетоны!D2:D37,MATCH(B10,Бетоны!A2:A37,0),1)</f>
        <v>840</v>
      </c>
      <c r="D27" s="2" t="s">
        <v>30</v>
      </c>
    </row>
    <row r="28" spans="1:4" ht="18.95" hidden="1" customHeight="1" x14ac:dyDescent="0.25">
      <c r="B28" s="2" t="s">
        <v>31</v>
      </c>
      <c r="C28" s="6">
        <f>C26*C12</f>
        <v>157.07963267948966</v>
      </c>
      <c r="D28" s="2" t="s">
        <v>32</v>
      </c>
    </row>
    <row r="29" spans="1:4" ht="18.95" hidden="1" customHeight="1" x14ac:dyDescent="0.25">
      <c r="B29" s="2" t="s">
        <v>33</v>
      </c>
      <c r="C29" s="4">
        <f>C27*C28*C24/(C9*3600)</f>
        <v>155.7706357404939</v>
      </c>
      <c r="D29" s="2" t="s">
        <v>25</v>
      </c>
    </row>
    <row r="30" spans="1:4" ht="18.95" hidden="1" customHeight="1" x14ac:dyDescent="0.25">
      <c r="B30" s="2" t="s">
        <v>38</v>
      </c>
      <c r="C30" s="6">
        <f>C13/C19</f>
        <v>411.28227699530515</v>
      </c>
      <c r="D30" s="2" t="s">
        <v>45</v>
      </c>
    </row>
    <row r="31" spans="1:4" ht="18.95" hidden="1" customHeight="1" x14ac:dyDescent="0.25">
      <c r="B31" s="2" t="s">
        <v>39</v>
      </c>
      <c r="C31" s="6">
        <v>40</v>
      </c>
      <c r="D31" s="2" t="s">
        <v>40</v>
      </c>
    </row>
  </sheetData>
  <mergeCells count="14">
    <mergeCell ref="A17:B17"/>
    <mergeCell ref="B4:D4"/>
    <mergeCell ref="B5:D5"/>
    <mergeCell ref="B10:D10"/>
    <mergeCell ref="A1:D1"/>
    <mergeCell ref="A2:A3"/>
    <mergeCell ref="A4:A5"/>
    <mergeCell ref="A6:A9"/>
    <mergeCell ref="A11:D11"/>
    <mergeCell ref="A12:B12"/>
    <mergeCell ref="A13:B13"/>
    <mergeCell ref="A14:B14"/>
    <mergeCell ref="A15:B15"/>
    <mergeCell ref="A16:B16"/>
  </mergeCells>
  <conditionalFormatting sqref="C16">
    <cfRule type="cellIs" dxfId="3" priority="2" operator="greaterThan">
      <formula>200</formula>
    </cfRule>
  </conditionalFormatting>
  <conditionalFormatting sqref="C17">
    <cfRule type="cellIs" dxfId="2" priority="1" operator="lessThan">
      <formula>60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Теплоизоляция!$A$2:$A$37</xm:f>
          </x14:formula1>
          <xm:sqref>B5:D5</xm:sqref>
        </x14:dataValidation>
        <x14:dataValidation type="list" allowBlank="1" showInputMessage="1" showErrorMessage="1">
          <x14:formula1>
            <xm:f>Бетоны!$A$2:$A$5</xm:f>
          </x14:formula1>
          <xm:sqref>B10:D10</xm:sqref>
        </x14:dataValidation>
        <x14:dataValidation type="list" allowBlank="1" showInputMessage="1" showErrorMessage="1">
          <x14:formula1>
            <xm:f>Опалубка!$A$3:$A$60</xm:f>
          </x14:formula1>
          <xm:sqref>B4:D4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7"/>
  <sheetViews>
    <sheetView view="pageBreakPreview" zoomScaleNormal="100" zoomScaleSheetLayoutView="100" workbookViewId="0">
      <selection activeCell="C12" sqref="C12"/>
    </sheetView>
  </sheetViews>
  <sheetFormatPr defaultRowHeight="15.75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4" width="9.140625" style="1"/>
    <col min="5" max="5" width="35.140625" style="1" customWidth="1"/>
    <col min="6" max="6" width="13.140625" style="1" bestFit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4" t="s">
        <v>58</v>
      </c>
      <c r="C2" s="15">
        <v>6</v>
      </c>
      <c r="D2" s="14" t="s">
        <v>1</v>
      </c>
    </row>
    <row r="3" spans="1:4" ht="18.95" customHeight="1" x14ac:dyDescent="0.25">
      <c r="A3" s="24"/>
      <c r="B3" s="14" t="s">
        <v>59</v>
      </c>
      <c r="C3" s="15">
        <v>500</v>
      </c>
      <c r="D3" s="14" t="s">
        <v>3</v>
      </c>
    </row>
    <row r="4" spans="1:4" ht="18.95" customHeight="1" x14ac:dyDescent="0.25">
      <c r="A4" s="24"/>
      <c r="B4" s="14" t="s">
        <v>60</v>
      </c>
      <c r="C4" s="15">
        <v>1000</v>
      </c>
      <c r="D4" s="14" t="s">
        <v>3</v>
      </c>
    </row>
    <row r="5" spans="1:4" hidden="1" x14ac:dyDescent="0.25">
      <c r="B5" s="22" t="s">
        <v>55</v>
      </c>
      <c r="C5" s="23"/>
      <c r="D5" s="23"/>
    </row>
    <row r="6" spans="1:4" ht="38.1" customHeight="1" x14ac:dyDescent="0.25">
      <c r="A6" s="17" t="s">
        <v>85</v>
      </c>
      <c r="B6" s="22" t="s">
        <v>77</v>
      </c>
      <c r="C6" s="23"/>
      <c r="D6" s="23"/>
    </row>
    <row r="7" spans="1:4" ht="29.1" customHeight="1" x14ac:dyDescent="0.25">
      <c r="A7" s="20" t="s">
        <v>76</v>
      </c>
      <c r="B7" s="22" t="s">
        <v>47</v>
      </c>
      <c r="C7" s="23"/>
      <c r="D7" s="23"/>
    </row>
    <row r="8" spans="1:4" ht="29.1" customHeight="1" x14ac:dyDescent="0.25">
      <c r="A8" s="24"/>
      <c r="B8" s="22" t="s">
        <v>71</v>
      </c>
      <c r="C8" s="23"/>
      <c r="D8" s="23"/>
    </row>
    <row r="9" spans="1:4" ht="18.95" customHeight="1" x14ac:dyDescent="0.25">
      <c r="A9" s="28" t="s">
        <v>66</v>
      </c>
      <c r="B9" s="14" t="s">
        <v>16</v>
      </c>
      <c r="C9" s="15">
        <v>8</v>
      </c>
      <c r="D9" s="14" t="s">
        <v>15</v>
      </c>
    </row>
    <row r="10" spans="1:4" ht="18.95" customHeight="1" x14ac:dyDescent="0.25">
      <c r="A10" s="29"/>
      <c r="B10" s="14" t="s">
        <v>17</v>
      </c>
      <c r="C10" s="15">
        <v>25</v>
      </c>
      <c r="D10" s="14" t="s">
        <v>15</v>
      </c>
    </row>
    <row r="11" spans="1:4" ht="18.95" customHeight="1" x14ac:dyDescent="0.25">
      <c r="A11" s="29"/>
      <c r="B11" s="14" t="s">
        <v>18</v>
      </c>
      <c r="C11" s="15">
        <v>-15</v>
      </c>
      <c r="D11" s="14" t="s">
        <v>15</v>
      </c>
    </row>
    <row r="12" spans="1:4" ht="18.95" customHeight="1" x14ac:dyDescent="0.25">
      <c r="A12" s="30"/>
      <c r="B12" s="14" t="s">
        <v>34</v>
      </c>
      <c r="C12" s="15">
        <v>4</v>
      </c>
      <c r="D12" s="14" t="s">
        <v>35</v>
      </c>
    </row>
    <row r="13" spans="1:4" ht="18.95" customHeight="1" x14ac:dyDescent="0.25">
      <c r="A13" s="14" t="s">
        <v>67</v>
      </c>
      <c r="B13" s="22" t="s">
        <v>81</v>
      </c>
      <c r="C13" s="23"/>
      <c r="D13" s="23"/>
    </row>
    <row r="14" spans="1:4" ht="18.95" customHeight="1" x14ac:dyDescent="0.25">
      <c r="A14" s="20" t="s">
        <v>68</v>
      </c>
      <c r="B14" s="24"/>
      <c r="C14" s="24"/>
      <c r="D14" s="24"/>
    </row>
    <row r="15" spans="1:4" ht="18.95" customHeight="1" x14ac:dyDescent="0.25">
      <c r="A15" s="20" t="s">
        <v>4</v>
      </c>
      <c r="B15" s="24"/>
      <c r="C15" s="16">
        <f>C2*C3*C4/1000/1000</f>
        <v>3</v>
      </c>
      <c r="D15" s="14" t="s">
        <v>5</v>
      </c>
    </row>
    <row r="16" spans="1:4" ht="18.95" customHeight="1" x14ac:dyDescent="0.25">
      <c r="A16" s="20" t="s">
        <v>36</v>
      </c>
      <c r="B16" s="24"/>
      <c r="C16" s="13">
        <f>C29+C33+F29</f>
        <v>12612.711267605635</v>
      </c>
      <c r="D16" s="14" t="s">
        <v>25</v>
      </c>
    </row>
    <row r="17" spans="1:7" ht="18.95" customHeight="1" x14ac:dyDescent="0.25">
      <c r="A17" s="20" t="s">
        <v>38</v>
      </c>
      <c r="B17" s="24"/>
      <c r="C17" s="13">
        <f>C16/C15</f>
        <v>4204.237089201878</v>
      </c>
      <c r="D17" s="14" t="s">
        <v>37</v>
      </c>
    </row>
    <row r="18" spans="1:7" ht="18.95" customHeight="1" x14ac:dyDescent="0.25">
      <c r="A18" s="20" t="s">
        <v>41</v>
      </c>
      <c r="B18" s="24"/>
      <c r="C18" s="16">
        <f>C16/C35</f>
        <v>315.31778169014086</v>
      </c>
      <c r="D18" s="14" t="s">
        <v>1</v>
      </c>
    </row>
    <row r="19" spans="1:7" ht="18.95" customHeight="1" x14ac:dyDescent="0.25">
      <c r="A19" s="20" t="s">
        <v>42</v>
      </c>
      <c r="B19" s="24"/>
      <c r="C19" s="13">
        <f>C18/C15</f>
        <v>105.10592723004696</v>
      </c>
      <c r="D19" s="14" t="s">
        <v>43</v>
      </c>
    </row>
    <row r="20" spans="1:7" hidden="1" x14ac:dyDescent="0.25">
      <c r="A20" s="20" t="s">
        <v>44</v>
      </c>
      <c r="B20" s="21"/>
      <c r="C20" s="13">
        <f>C35/C34*1000/2</f>
        <v>41.228248944028628</v>
      </c>
      <c r="D20" s="14" t="s">
        <v>3</v>
      </c>
    </row>
    <row r="22" spans="1:7" ht="18.75" hidden="1" x14ac:dyDescent="0.25">
      <c r="B22" s="2" t="s">
        <v>6</v>
      </c>
      <c r="C22" s="2">
        <f>2*C2*C4/1000+2*C3/1000*C4/1000</f>
        <v>13</v>
      </c>
      <c r="D22" s="2" t="s">
        <v>7</v>
      </c>
      <c r="E22" s="2" t="s">
        <v>6</v>
      </c>
      <c r="F22" s="2">
        <f>C2*C3/1000</f>
        <v>3</v>
      </c>
      <c r="G22" s="2" t="s">
        <v>7</v>
      </c>
    </row>
    <row r="23" spans="1:7" hidden="1" x14ac:dyDescent="0.25">
      <c r="B23" s="25" t="s">
        <v>61</v>
      </c>
      <c r="C23" s="26"/>
      <c r="D23" s="27"/>
      <c r="E23" s="25" t="s">
        <v>62</v>
      </c>
      <c r="F23" s="26"/>
      <c r="G23" s="27"/>
    </row>
    <row r="24" spans="1:7" ht="18.75" hidden="1" x14ac:dyDescent="0.25">
      <c r="B24" s="2" t="s">
        <v>12</v>
      </c>
      <c r="C24" s="3">
        <f>INDEX(Опалубка!C2:C17,MATCH(B7,Опалубка!A2:A13,0),1)</f>
        <v>0.10588235294117646</v>
      </c>
      <c r="D24" s="2" t="s">
        <v>13</v>
      </c>
      <c r="E24" s="2" t="s">
        <v>12</v>
      </c>
      <c r="F24" s="3">
        <f>INDEX(Опалубка!C2:C17,MATCH(B5,Опалубка!A2:A13,0),1)</f>
        <v>0</v>
      </c>
      <c r="G24" s="2" t="s">
        <v>13</v>
      </c>
    </row>
    <row r="25" spans="1:7" ht="18.75" hidden="1" x14ac:dyDescent="0.25">
      <c r="B25" s="2" t="s">
        <v>23</v>
      </c>
      <c r="C25" s="3">
        <f>INDEX(Теплоизоляция!C2:C17,MATCH(B8,Теплоизоляция!A2:A13,0),1)</f>
        <v>0</v>
      </c>
      <c r="D25" s="2" t="s">
        <v>13</v>
      </c>
      <c r="E25" s="2" t="s">
        <v>23</v>
      </c>
      <c r="F25" s="3">
        <f>INDEX(Теплоизоляция!C2:C17,MATCH(B6,Теплоизоляция!A2:A13,0),1)</f>
        <v>0.05</v>
      </c>
      <c r="G25" s="2" t="s">
        <v>13</v>
      </c>
    </row>
    <row r="26" spans="1:7" ht="18.75" hidden="1" x14ac:dyDescent="0.25">
      <c r="B26" s="2" t="s">
        <v>14</v>
      </c>
      <c r="C26" s="3">
        <f>C24+1/30+C25</f>
        <v>0.13921568627450978</v>
      </c>
      <c r="D26" s="2" t="s">
        <v>13</v>
      </c>
      <c r="E26" s="2" t="s">
        <v>14</v>
      </c>
      <c r="F26" s="3">
        <f>F24+1/30+F25</f>
        <v>8.3333333333333343E-2</v>
      </c>
      <c r="G26" s="2" t="s">
        <v>13</v>
      </c>
    </row>
    <row r="27" spans="1:7" hidden="1" x14ac:dyDescent="0.25">
      <c r="B27" s="2" t="s">
        <v>19</v>
      </c>
      <c r="C27" s="2">
        <f>C10-C11</f>
        <v>40</v>
      </c>
      <c r="D27" s="2" t="s">
        <v>15</v>
      </c>
    </row>
    <row r="28" spans="1:7" hidden="1" x14ac:dyDescent="0.25">
      <c r="B28" s="2" t="s">
        <v>20</v>
      </c>
      <c r="C28" s="2">
        <f>C10-C9</f>
        <v>17</v>
      </c>
      <c r="D28" s="2" t="s">
        <v>15</v>
      </c>
    </row>
    <row r="29" spans="1:7" hidden="1" x14ac:dyDescent="0.25">
      <c r="B29" s="2" t="s">
        <v>24</v>
      </c>
      <c r="C29" s="4">
        <f>C27/C26*C22</f>
        <v>3735.2112676056345</v>
      </c>
      <c r="D29" s="2" t="s">
        <v>25</v>
      </c>
      <c r="E29" s="2" t="s">
        <v>24</v>
      </c>
      <c r="F29" s="4">
        <f>C27/F26*F22</f>
        <v>1439.9999999999998</v>
      </c>
      <c r="G29" s="2" t="s">
        <v>25</v>
      </c>
    </row>
    <row r="30" spans="1:7" ht="18.75" hidden="1" x14ac:dyDescent="0.25">
      <c r="B30" s="2" t="s">
        <v>27</v>
      </c>
      <c r="C30" s="6">
        <f>INDEX(Бетоны!C2:C37,MATCH(B13,Бетоны!A2:A37,0),1)</f>
        <v>2500</v>
      </c>
      <c r="D30" s="2" t="s">
        <v>29</v>
      </c>
    </row>
    <row r="31" spans="1:7" hidden="1" x14ac:dyDescent="0.25">
      <c r="B31" s="2" t="s">
        <v>28</v>
      </c>
      <c r="C31" s="2">
        <f>INDEX(Бетоны!D2:D37,MATCH(B13,Бетоны!A2:A37,0),1)</f>
        <v>840</v>
      </c>
      <c r="D31" s="2" t="s">
        <v>30</v>
      </c>
    </row>
    <row r="32" spans="1:7" hidden="1" x14ac:dyDescent="0.25">
      <c r="B32" s="2" t="s">
        <v>31</v>
      </c>
      <c r="C32" s="6">
        <f>C30*C15</f>
        <v>7500</v>
      </c>
      <c r="D32" s="2" t="s">
        <v>32</v>
      </c>
    </row>
    <row r="33" spans="2:4" hidden="1" x14ac:dyDescent="0.25">
      <c r="B33" s="2" t="s">
        <v>33</v>
      </c>
      <c r="C33" s="4">
        <f>C31*C32*C28/(C12*3600)</f>
        <v>7437.5</v>
      </c>
      <c r="D33" s="2" t="s">
        <v>25</v>
      </c>
    </row>
    <row r="34" spans="2:4" ht="18.75" hidden="1" x14ac:dyDescent="0.25">
      <c r="B34" s="2" t="s">
        <v>38</v>
      </c>
      <c r="C34" s="6">
        <f>C16/(C22*2)</f>
        <v>485.10427952329366</v>
      </c>
      <c r="D34" s="2" t="s">
        <v>45</v>
      </c>
    </row>
    <row r="35" spans="2:4" hidden="1" x14ac:dyDescent="0.25">
      <c r="B35" s="2" t="s">
        <v>39</v>
      </c>
      <c r="C35" s="6">
        <v>40</v>
      </c>
      <c r="D35" s="2" t="s">
        <v>40</v>
      </c>
    </row>
    <row r="36" spans="2:4" hidden="1" x14ac:dyDescent="0.25"/>
    <row r="37" spans="2:4" hidden="1" x14ac:dyDescent="0.25"/>
  </sheetData>
  <mergeCells count="18">
    <mergeCell ref="B23:D23"/>
    <mergeCell ref="E23:G23"/>
    <mergeCell ref="A7:A8"/>
    <mergeCell ref="B7:D7"/>
    <mergeCell ref="B8:D8"/>
    <mergeCell ref="A9:A12"/>
    <mergeCell ref="A19:B19"/>
    <mergeCell ref="A20:B20"/>
    <mergeCell ref="A14:D14"/>
    <mergeCell ref="A15:B15"/>
    <mergeCell ref="A16:B16"/>
    <mergeCell ref="A17:B17"/>
    <mergeCell ref="A18:B18"/>
    <mergeCell ref="A1:D1"/>
    <mergeCell ref="A2:A4"/>
    <mergeCell ref="B5:D5"/>
    <mergeCell ref="B6:D6"/>
    <mergeCell ref="B13:D13"/>
  </mergeCells>
  <conditionalFormatting sqref="C19">
    <cfRule type="cellIs" dxfId="1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Опалубка!$A$2:$A$60</xm:f>
          </x14:formula1>
          <xm:sqref>B5:D5</xm:sqref>
        </x14:dataValidation>
        <x14:dataValidation type="list" allowBlank="1" showInputMessage="1" showErrorMessage="1">
          <x14:formula1>
            <xm:f>Теплоизоляция!$A$2:$A$37</xm:f>
          </x14:formula1>
          <xm:sqref>B8:D8 B6:D6</xm:sqref>
        </x14:dataValidation>
        <x14:dataValidation type="list" allowBlank="1" showInputMessage="1" showErrorMessage="1">
          <x14:formula1>
            <xm:f>Бетоны!$A$2:$A$5</xm:f>
          </x14:formula1>
          <xm:sqref>B13:D13</xm:sqref>
        </x14:dataValidation>
        <x14:dataValidation type="list" allowBlank="1" showInputMessage="1" showErrorMessage="1">
          <x14:formula1>
            <xm:f>Опалубка!$A$3:$A$60</xm:f>
          </x14:formula1>
          <xm:sqref>B7:D7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view="pageBreakPreview" zoomScaleNormal="100" zoomScaleSheetLayoutView="100" workbookViewId="0">
      <selection activeCell="C4" sqref="C4"/>
    </sheetView>
  </sheetViews>
  <sheetFormatPr defaultRowHeight="15.75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4" width="9.140625" style="1"/>
    <col min="5" max="5" width="35.140625" style="1" customWidth="1"/>
    <col min="6" max="6" width="13.140625" style="1" bestFit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7" t="s">
        <v>90</v>
      </c>
      <c r="C2" s="18">
        <v>20</v>
      </c>
      <c r="D2" s="17" t="s">
        <v>1</v>
      </c>
    </row>
    <row r="3" spans="1:4" ht="18.95" customHeight="1" x14ac:dyDescent="0.25">
      <c r="A3" s="24"/>
      <c r="B3" s="17" t="s">
        <v>91</v>
      </c>
      <c r="C3" s="18">
        <v>20</v>
      </c>
      <c r="D3" s="17" t="s">
        <v>1</v>
      </c>
    </row>
    <row r="4" spans="1:4" ht="18.95" customHeight="1" x14ac:dyDescent="0.25">
      <c r="A4" s="24"/>
      <c r="B4" s="17" t="s">
        <v>92</v>
      </c>
      <c r="C4" s="18">
        <v>200</v>
      </c>
      <c r="D4" s="17" t="s">
        <v>3</v>
      </c>
    </row>
    <row r="5" spans="1:4" ht="18.95" customHeight="1" x14ac:dyDescent="0.25">
      <c r="A5" s="17" t="s">
        <v>86</v>
      </c>
      <c r="B5" s="22" t="s">
        <v>77</v>
      </c>
      <c r="C5" s="23"/>
      <c r="D5" s="23"/>
    </row>
    <row r="6" spans="1:4" ht="18.95" customHeight="1" x14ac:dyDescent="0.25">
      <c r="A6" s="28" t="s">
        <v>66</v>
      </c>
      <c r="B6" s="17" t="s">
        <v>16</v>
      </c>
      <c r="C6" s="18">
        <v>15</v>
      </c>
      <c r="D6" s="17" t="s">
        <v>15</v>
      </c>
    </row>
    <row r="7" spans="1:4" ht="18.95" customHeight="1" x14ac:dyDescent="0.25">
      <c r="A7" s="29"/>
      <c r="B7" s="17" t="s">
        <v>17</v>
      </c>
      <c r="C7" s="18">
        <v>25</v>
      </c>
      <c r="D7" s="17" t="s">
        <v>15</v>
      </c>
    </row>
    <row r="8" spans="1:4" ht="18.95" customHeight="1" x14ac:dyDescent="0.25">
      <c r="A8" s="29"/>
      <c r="B8" s="17" t="s">
        <v>18</v>
      </c>
      <c r="C8" s="18">
        <v>-15</v>
      </c>
      <c r="D8" s="17" t="s">
        <v>15</v>
      </c>
    </row>
    <row r="9" spans="1:4" ht="18.95" customHeight="1" x14ac:dyDescent="0.25">
      <c r="A9" s="30"/>
      <c r="B9" s="17" t="s">
        <v>34</v>
      </c>
      <c r="C9" s="18">
        <v>24</v>
      </c>
      <c r="D9" s="17" t="s">
        <v>35</v>
      </c>
    </row>
    <row r="10" spans="1:4" ht="18.95" customHeight="1" x14ac:dyDescent="0.25">
      <c r="A10" s="17" t="s">
        <v>67</v>
      </c>
      <c r="B10" s="22" t="s">
        <v>81</v>
      </c>
      <c r="C10" s="23"/>
      <c r="D10" s="23"/>
    </row>
    <row r="11" spans="1:4" ht="18.95" customHeight="1" x14ac:dyDescent="0.25">
      <c r="A11" s="20" t="s">
        <v>68</v>
      </c>
      <c r="B11" s="24"/>
      <c r="C11" s="24"/>
      <c r="D11" s="24"/>
    </row>
    <row r="12" spans="1:4" ht="18.95" customHeight="1" x14ac:dyDescent="0.25">
      <c r="A12" s="20" t="s">
        <v>4</v>
      </c>
      <c r="B12" s="24"/>
      <c r="C12" s="16">
        <f>C2*C3*C4/1000</f>
        <v>80</v>
      </c>
      <c r="D12" s="17" t="s">
        <v>5</v>
      </c>
    </row>
    <row r="13" spans="1:4" ht="18.95" customHeight="1" x14ac:dyDescent="0.25">
      <c r="A13" s="20" t="s">
        <v>36</v>
      </c>
      <c r="B13" s="24"/>
      <c r="C13" s="13">
        <f>C26+C30+F26</f>
        <v>211444.44444444441</v>
      </c>
      <c r="D13" s="17" t="s">
        <v>25</v>
      </c>
    </row>
    <row r="14" spans="1:4" ht="18.95" customHeight="1" x14ac:dyDescent="0.25">
      <c r="A14" s="20" t="s">
        <v>38</v>
      </c>
      <c r="B14" s="24"/>
      <c r="C14" s="13">
        <f>C13/C12</f>
        <v>2643.0555555555552</v>
      </c>
      <c r="D14" s="17" t="s">
        <v>37</v>
      </c>
    </row>
    <row r="15" spans="1:4" ht="18.95" customHeight="1" x14ac:dyDescent="0.25">
      <c r="A15" s="20" t="s">
        <v>41</v>
      </c>
      <c r="B15" s="24"/>
      <c r="C15" s="16">
        <f>C13/C32</f>
        <v>5286.1111111111104</v>
      </c>
      <c r="D15" s="17" t="s">
        <v>1</v>
      </c>
    </row>
    <row r="16" spans="1:4" ht="18.95" customHeight="1" x14ac:dyDescent="0.25">
      <c r="A16" s="20" t="s">
        <v>42</v>
      </c>
      <c r="B16" s="24"/>
      <c r="C16" s="13">
        <f>C15/C12</f>
        <v>66.076388888888886</v>
      </c>
      <c r="D16" s="17" t="s">
        <v>43</v>
      </c>
    </row>
    <row r="17" spans="1:7" ht="18.95" hidden="1" customHeight="1" x14ac:dyDescent="0.25">
      <c r="A17" s="20" t="s">
        <v>44</v>
      </c>
      <c r="B17" s="21"/>
      <c r="C17" s="13">
        <f>C32/C31*1000/2</f>
        <v>75.669994745139277</v>
      </c>
      <c r="D17" s="17" t="s">
        <v>3</v>
      </c>
    </row>
    <row r="19" spans="1:7" ht="18.75" hidden="1" x14ac:dyDescent="0.25">
      <c r="B19" s="2" t="s">
        <v>6</v>
      </c>
      <c r="C19" s="2"/>
      <c r="D19" s="2" t="s">
        <v>7</v>
      </c>
      <c r="E19" s="2" t="s">
        <v>6</v>
      </c>
      <c r="F19" s="2">
        <f>C2*C3</f>
        <v>400</v>
      </c>
      <c r="G19" s="2" t="s">
        <v>7</v>
      </c>
    </row>
    <row r="20" spans="1:7" hidden="1" x14ac:dyDescent="0.25">
      <c r="B20" s="25" t="s">
        <v>61</v>
      </c>
      <c r="C20" s="26"/>
      <c r="D20" s="27"/>
      <c r="E20" s="25" t="s">
        <v>62</v>
      </c>
      <c r="F20" s="26"/>
      <c r="G20" s="27"/>
    </row>
    <row r="21" spans="1:7" ht="18.75" hidden="1" x14ac:dyDescent="0.25">
      <c r="B21" s="2" t="s">
        <v>12</v>
      </c>
      <c r="C21" s="3"/>
      <c r="D21" s="2" t="s">
        <v>13</v>
      </c>
      <c r="E21" s="2" t="s">
        <v>12</v>
      </c>
      <c r="F21" s="3"/>
      <c r="G21" s="2" t="s">
        <v>13</v>
      </c>
    </row>
    <row r="22" spans="1:7" ht="18.75" hidden="1" x14ac:dyDescent="0.25">
      <c r="B22" s="2" t="s">
        <v>23</v>
      </c>
      <c r="C22" s="3"/>
      <c r="D22" s="2" t="s">
        <v>13</v>
      </c>
      <c r="E22" s="2" t="s">
        <v>23</v>
      </c>
      <c r="F22" s="3">
        <f>INDEX(Теплоизоляция!C2:C17,MATCH(B5,Теплоизоляция!A2:A13,0),1)</f>
        <v>0.05</v>
      </c>
      <c r="G22" s="2" t="s">
        <v>13</v>
      </c>
    </row>
    <row r="23" spans="1:7" ht="18.75" hidden="1" x14ac:dyDescent="0.25">
      <c r="B23" s="2" t="s">
        <v>14</v>
      </c>
      <c r="C23" s="3"/>
      <c r="D23" s="2" t="s">
        <v>13</v>
      </c>
      <c r="E23" s="2" t="s">
        <v>14</v>
      </c>
      <c r="F23" s="3">
        <f>F21+1/30+F22</f>
        <v>8.3333333333333343E-2</v>
      </c>
      <c r="G23" s="2" t="s">
        <v>13</v>
      </c>
    </row>
    <row r="24" spans="1:7" hidden="1" x14ac:dyDescent="0.25">
      <c r="B24" s="2" t="s">
        <v>19</v>
      </c>
      <c r="C24" s="2">
        <f>C7-C8</f>
        <v>40</v>
      </c>
      <c r="D24" s="2" t="s">
        <v>15</v>
      </c>
    </row>
    <row r="25" spans="1:7" hidden="1" x14ac:dyDescent="0.25">
      <c r="B25" s="2" t="s">
        <v>20</v>
      </c>
      <c r="C25" s="2">
        <f>C7-C6</f>
        <v>10</v>
      </c>
      <c r="D25" s="2" t="s">
        <v>15</v>
      </c>
    </row>
    <row r="26" spans="1:7" hidden="1" x14ac:dyDescent="0.25">
      <c r="B26" s="2" t="s">
        <v>24</v>
      </c>
      <c r="C26" s="4">
        <v>0</v>
      </c>
      <c r="D26" s="2" t="s">
        <v>25</v>
      </c>
      <c r="E26" s="2" t="s">
        <v>24</v>
      </c>
      <c r="F26" s="4">
        <f>C24/F23*F19</f>
        <v>191999.99999999997</v>
      </c>
      <c r="G26" s="2" t="s">
        <v>25</v>
      </c>
    </row>
    <row r="27" spans="1:7" ht="18.75" hidden="1" x14ac:dyDescent="0.25">
      <c r="B27" s="2" t="s">
        <v>27</v>
      </c>
      <c r="C27" s="6">
        <f>INDEX(Бетоны!C2:C37,MATCH(B10,Бетоны!A2:A37,0),1)</f>
        <v>2500</v>
      </c>
      <c r="D27" s="2" t="s">
        <v>29</v>
      </c>
    </row>
    <row r="28" spans="1:7" hidden="1" x14ac:dyDescent="0.25">
      <c r="B28" s="2" t="s">
        <v>28</v>
      </c>
      <c r="C28" s="2">
        <f>INDEX(Бетоны!D2:D37,MATCH(B10,Бетоны!A2:A37,0),1)</f>
        <v>840</v>
      </c>
      <c r="D28" s="2" t="s">
        <v>30</v>
      </c>
    </row>
    <row r="29" spans="1:7" hidden="1" x14ac:dyDescent="0.25">
      <c r="B29" s="2" t="s">
        <v>31</v>
      </c>
      <c r="C29" s="6">
        <f>C27*C12</f>
        <v>200000</v>
      </c>
      <c r="D29" s="2" t="s">
        <v>32</v>
      </c>
    </row>
    <row r="30" spans="1:7" hidden="1" x14ac:dyDescent="0.25">
      <c r="B30" s="2" t="s">
        <v>33</v>
      </c>
      <c r="C30" s="4">
        <f>C28*C29*C25/(C9*3600)</f>
        <v>19444.444444444445</v>
      </c>
      <c r="D30" s="2" t="s">
        <v>25</v>
      </c>
    </row>
    <row r="31" spans="1:7" ht="18.75" hidden="1" x14ac:dyDescent="0.25">
      <c r="B31" s="2" t="s">
        <v>38</v>
      </c>
      <c r="C31" s="6">
        <f>C13/(F19*2)</f>
        <v>264.30555555555549</v>
      </c>
      <c r="D31" s="2" t="s">
        <v>45</v>
      </c>
    </row>
    <row r="32" spans="1:7" hidden="1" x14ac:dyDescent="0.25">
      <c r="B32" s="2" t="s">
        <v>39</v>
      </c>
      <c r="C32" s="6">
        <v>40</v>
      </c>
      <c r="D32" s="2" t="s">
        <v>40</v>
      </c>
    </row>
  </sheetData>
  <mergeCells count="14">
    <mergeCell ref="A14:B14"/>
    <mergeCell ref="A1:D1"/>
    <mergeCell ref="A2:A4"/>
    <mergeCell ref="B5:D5"/>
    <mergeCell ref="A6:A9"/>
    <mergeCell ref="B10:D10"/>
    <mergeCell ref="A11:D11"/>
    <mergeCell ref="A12:B12"/>
    <mergeCell ref="A13:B13"/>
    <mergeCell ref="A15:B15"/>
    <mergeCell ref="A16:B16"/>
    <mergeCell ref="A17:B17"/>
    <mergeCell ref="B20:D20"/>
    <mergeCell ref="E20:G20"/>
  </mergeCells>
  <conditionalFormatting sqref="C16">
    <cfRule type="cellIs" dxfId="0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Бетоны!$A$2:$A$5</xm:f>
          </x14:formula1>
          <xm:sqref>B10:D10</xm:sqref>
        </x14:dataValidation>
        <x14:dataValidation type="list" allowBlank="1" showInputMessage="1" showErrorMessage="1">
          <x14:formula1>
            <xm:f>Теплоизоляция!$A$2:$A$37</xm:f>
          </x14:formula1>
          <xm:sqref>B5:D5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7"/>
  <sheetViews>
    <sheetView workbookViewId="0">
      <selection activeCell="C9" sqref="C9"/>
    </sheetView>
  </sheetViews>
  <sheetFormatPr defaultRowHeight="15.75" x14ac:dyDescent="0.25"/>
  <cols>
    <col min="1" max="1" width="43.85546875" style="1" bestFit="1" customWidth="1"/>
    <col min="2" max="2" width="43.85546875" style="1" customWidth="1"/>
    <col min="3" max="5" width="16.140625" style="1" customWidth="1"/>
    <col min="6" max="16384" width="9.140625" style="1"/>
  </cols>
  <sheetData>
    <row r="1" spans="1:3" ht="31.5" x14ac:dyDescent="0.25">
      <c r="A1" s="1" t="s">
        <v>8</v>
      </c>
      <c r="C1" s="1" t="s">
        <v>9</v>
      </c>
    </row>
    <row r="2" spans="1:3" x14ac:dyDescent="0.25">
      <c r="A2" s="1" t="s">
        <v>55</v>
      </c>
      <c r="C2" s="9">
        <v>0</v>
      </c>
    </row>
    <row r="3" spans="1:3" x14ac:dyDescent="0.25">
      <c r="A3" s="1" t="s">
        <v>47</v>
      </c>
      <c r="C3" s="9">
        <f>18/1000/0.17</f>
        <v>0.10588235294117646</v>
      </c>
    </row>
    <row r="4" spans="1:3" x14ac:dyDescent="0.25">
      <c r="A4" s="1" t="s">
        <v>11</v>
      </c>
      <c r="C4" s="8">
        <f>5/1000/0.3</f>
        <v>1.6666666666666666E-2</v>
      </c>
    </row>
    <row r="5" spans="1:3" x14ac:dyDescent="0.25">
      <c r="A5" s="1" t="s">
        <v>69</v>
      </c>
      <c r="C5" s="9">
        <f>22/1000/0.15</f>
        <v>0.14666666666666667</v>
      </c>
    </row>
    <row r="6" spans="1:3" x14ac:dyDescent="0.25">
      <c r="A6" s="1" t="s">
        <v>70</v>
      </c>
      <c r="C6" s="9">
        <f>50/1000/0.04</f>
        <v>1.25</v>
      </c>
    </row>
    <row r="7" spans="1:3" x14ac:dyDescent="0.25">
      <c r="A7" s="1" t="s">
        <v>73</v>
      </c>
      <c r="C7" s="9">
        <f>50/1000/0.1</f>
        <v>0.5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11"/>
  <sheetViews>
    <sheetView zoomScale="130" zoomScaleNormal="130" workbookViewId="0">
      <selection activeCell="A12" sqref="A12"/>
    </sheetView>
  </sheetViews>
  <sheetFormatPr defaultRowHeight="15.75" x14ac:dyDescent="0.25"/>
  <cols>
    <col min="1" max="1" width="43.85546875" style="1" bestFit="1" customWidth="1"/>
    <col min="2" max="2" width="43.85546875" style="1" customWidth="1"/>
    <col min="3" max="3" width="16.140625" style="1" customWidth="1"/>
  </cols>
  <sheetData>
    <row r="1" spans="1:3" ht="31.5" x14ac:dyDescent="0.25">
      <c r="A1" s="1" t="s">
        <v>8</v>
      </c>
      <c r="C1" s="1" t="s">
        <v>9</v>
      </c>
    </row>
    <row r="2" spans="1:3" x14ac:dyDescent="0.25">
      <c r="A2" s="1" t="s">
        <v>71</v>
      </c>
      <c r="C2" s="8">
        <v>0</v>
      </c>
    </row>
    <row r="3" spans="1:3" x14ac:dyDescent="0.25">
      <c r="A3" s="1" t="s">
        <v>72</v>
      </c>
      <c r="C3" s="8">
        <f>1/1000/0.03</f>
        <v>3.3333333333333333E-2</v>
      </c>
    </row>
    <row r="4" spans="1:3" x14ac:dyDescent="0.25">
      <c r="A4" s="1" t="s">
        <v>77</v>
      </c>
      <c r="C4" s="8">
        <f>1/1000/0.03+5/1000/0.3</f>
        <v>0.05</v>
      </c>
    </row>
    <row r="5" spans="1:3" x14ac:dyDescent="0.25">
      <c r="A5" s="1" t="s">
        <v>78</v>
      </c>
      <c r="C5" s="8">
        <f>10/1000/0.04</f>
        <v>0.25</v>
      </c>
    </row>
    <row r="6" spans="1:3" x14ac:dyDescent="0.25">
      <c r="A6" s="1" t="s">
        <v>21</v>
      </c>
      <c r="C6" s="8">
        <f>10/1000/0.08</f>
        <v>0.125</v>
      </c>
    </row>
    <row r="7" spans="1:3" x14ac:dyDescent="0.25">
      <c r="A7" s="1" t="s">
        <v>22</v>
      </c>
      <c r="C7" s="8">
        <f>50/1000/0.08</f>
        <v>0.625</v>
      </c>
    </row>
    <row r="8" spans="1:3" x14ac:dyDescent="0.25">
      <c r="A8" s="1" t="s">
        <v>46</v>
      </c>
      <c r="C8" s="8">
        <f>100/1000/0.08</f>
        <v>1.25</v>
      </c>
    </row>
    <row r="9" spans="1:3" x14ac:dyDescent="0.25">
      <c r="A9" s="1" t="s">
        <v>87</v>
      </c>
      <c r="C9" s="8">
        <f>10/1000/0.04</f>
        <v>0.25</v>
      </c>
    </row>
    <row r="10" spans="1:3" x14ac:dyDescent="0.25">
      <c r="A10" s="1" t="s">
        <v>88</v>
      </c>
      <c r="C10" s="8">
        <f>50/1000/0.04</f>
        <v>1.25</v>
      </c>
    </row>
    <row r="11" spans="1:3" x14ac:dyDescent="0.25">
      <c r="A11" s="1" t="s">
        <v>89</v>
      </c>
      <c r="C11" s="8">
        <f>100/1000/0.04</f>
        <v>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160" zoomScaleSheetLayoutView="160" workbookViewId="0">
      <selection activeCell="C16" sqref="C16"/>
    </sheetView>
  </sheetViews>
  <sheetFormatPr defaultRowHeight="15.75" x14ac:dyDescent="0.25"/>
  <cols>
    <col min="1" max="1" width="43.85546875" style="1" bestFit="1" customWidth="1"/>
    <col min="2" max="2" width="43.85546875" style="1" customWidth="1"/>
    <col min="3" max="4" width="16.140625" style="1" customWidth="1"/>
  </cols>
  <sheetData>
    <row r="1" spans="1:4" x14ac:dyDescent="0.25">
      <c r="A1" s="1" t="s">
        <v>8</v>
      </c>
      <c r="C1" s="1" t="s">
        <v>10</v>
      </c>
      <c r="D1" s="1" t="s">
        <v>26</v>
      </c>
    </row>
    <row r="2" spans="1:4" x14ac:dyDescent="0.25">
      <c r="A2" s="1" t="s">
        <v>79</v>
      </c>
      <c r="C2" s="5">
        <v>1800</v>
      </c>
      <c r="D2" s="5">
        <v>840</v>
      </c>
    </row>
    <row r="3" spans="1:4" x14ac:dyDescent="0.25">
      <c r="A3" s="1" t="s">
        <v>80</v>
      </c>
      <c r="C3" s="5">
        <v>2200</v>
      </c>
      <c r="D3" s="5">
        <v>840</v>
      </c>
    </row>
    <row r="4" spans="1:4" x14ac:dyDescent="0.25">
      <c r="A4" s="1" t="s">
        <v>81</v>
      </c>
      <c r="C4" s="5">
        <v>2500</v>
      </c>
      <c r="D4" s="5">
        <v>840</v>
      </c>
    </row>
    <row r="5" spans="1:4" x14ac:dyDescent="0.25">
      <c r="A5" s="1" t="s">
        <v>82</v>
      </c>
      <c r="C5" s="5">
        <v>3000</v>
      </c>
      <c r="D5" s="5">
        <v>840</v>
      </c>
    </row>
    <row r="6" spans="1:4" x14ac:dyDescent="0.25">
      <c r="C6" s="5"/>
      <c r="D6" s="5"/>
    </row>
    <row r="7" spans="1:4" x14ac:dyDescent="0.25">
      <c r="C7" s="5"/>
      <c r="D7" s="5"/>
    </row>
    <row r="8" spans="1:4" x14ac:dyDescent="0.25">
      <c r="C8" s="5"/>
      <c r="D8" s="5"/>
    </row>
    <row r="9" spans="1:4" x14ac:dyDescent="0.25">
      <c r="C9" s="5"/>
      <c r="D9" s="5"/>
    </row>
    <row r="10" spans="1:4" x14ac:dyDescent="0.25">
      <c r="C10" s="5"/>
      <c r="D10" s="5"/>
    </row>
    <row r="11" spans="1:4" x14ac:dyDescent="0.25">
      <c r="C11" s="5"/>
      <c r="D11" s="5"/>
    </row>
    <row r="12" spans="1:4" x14ac:dyDescent="0.25">
      <c r="C12" s="5"/>
      <c r="D12" s="5"/>
    </row>
    <row r="13" spans="1:4" x14ac:dyDescent="0.25">
      <c r="C13" s="5"/>
      <c r="D13" s="5"/>
    </row>
    <row r="14" spans="1:4" x14ac:dyDescent="0.25">
      <c r="C14" s="5"/>
      <c r="D14" s="5"/>
    </row>
    <row r="15" spans="1:4" x14ac:dyDescent="0.25">
      <c r="C15" s="5"/>
      <c r="D15" s="5"/>
    </row>
    <row r="16" spans="1:4" x14ac:dyDescent="0.25">
      <c r="C16" s="5"/>
      <c r="D16" s="5"/>
    </row>
    <row r="17" spans="3:4" x14ac:dyDescent="0.25">
      <c r="C17" s="5"/>
      <c r="D17" s="5"/>
    </row>
    <row r="18" spans="3:4" x14ac:dyDescent="0.25">
      <c r="C18" s="5"/>
      <c r="D18" s="5"/>
    </row>
    <row r="19" spans="3:4" x14ac:dyDescent="0.25">
      <c r="C19" s="5"/>
      <c r="D19" s="5"/>
    </row>
    <row r="20" spans="3:4" x14ac:dyDescent="0.25">
      <c r="C20" s="5"/>
      <c r="D20" s="5"/>
    </row>
    <row r="21" spans="3:4" x14ac:dyDescent="0.25">
      <c r="C21" s="5"/>
      <c r="D21" s="5"/>
    </row>
    <row r="22" spans="3:4" x14ac:dyDescent="0.25">
      <c r="C22" s="5"/>
      <c r="D22" s="5"/>
    </row>
    <row r="23" spans="3:4" x14ac:dyDescent="0.25">
      <c r="C23" s="5"/>
      <c r="D23" s="5"/>
    </row>
    <row r="24" spans="3:4" x14ac:dyDescent="0.25">
      <c r="C24" s="5"/>
      <c r="D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Стена</vt:lpstr>
      <vt:lpstr>Перекрытие</vt:lpstr>
      <vt:lpstr>Прямоугольная колонна</vt:lpstr>
      <vt:lpstr>Круглая колонна</vt:lpstr>
      <vt:lpstr>Ленточный фундамент</vt:lpstr>
      <vt:lpstr>Фундаментная плита</vt:lpstr>
      <vt:lpstr>Опалубка</vt:lpstr>
      <vt:lpstr>Теплоизоляция</vt:lpstr>
      <vt:lpstr>Бетоны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2018-12-24T14:27:56Z</dcterms:modified>
</cp:coreProperties>
</file>